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kura\Documents\ホームページ関係\html\document\exsel\"/>
    </mc:Choice>
  </mc:AlternateContent>
  <xr:revisionPtr revIDLastSave="0" documentId="13_ncr:1_{C0741233-034D-4626-BBB3-417D742F4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付料等計算書（貸付期間２～9年の場合）" sheetId="2" r:id="rId1"/>
    <sheet name="貸付料等計算書 (貸付期間10～15年の場合）" sheetId="3" r:id="rId2"/>
  </sheets>
  <definedNames>
    <definedName name="_xlnm.Print_Area" localSheetId="1">'貸付料等計算書 (貸付期間10～15年の場合）'!$A$1:$AH$41</definedName>
    <definedName name="_xlnm.Print_Area" localSheetId="0">'貸付料等計算書（貸付期間２～9年の場合）'!$A$1:$V$41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3" l="1"/>
  <c r="K105" i="2"/>
  <c r="C43" i="2" s="1"/>
  <c r="D50" i="3"/>
  <c r="A50" i="3"/>
  <c r="D9" i="3"/>
  <c r="A50" i="2"/>
  <c r="D50" i="2" l="1"/>
  <c r="G11" i="3"/>
  <c r="E105" i="2" l="1"/>
  <c r="E105" i="3"/>
  <c r="E48" i="2"/>
  <c r="AG47" i="2"/>
  <c r="AF47" i="2"/>
  <c r="AE47" i="2"/>
  <c r="AD47" i="2"/>
  <c r="AC47" i="2"/>
  <c r="AB47" i="2"/>
  <c r="AA47" i="2"/>
  <c r="Z47" i="2"/>
  <c r="Y47" i="2"/>
  <c r="X47" i="2"/>
  <c r="W47" i="2"/>
  <c r="V47" i="2"/>
  <c r="Y48" i="3"/>
  <c r="Y50" i="3" s="1"/>
  <c r="G113" i="2"/>
  <c r="U47" i="2" s="1"/>
  <c r="F113" i="2"/>
  <c r="G113" i="3"/>
  <c r="M47" i="3" s="1"/>
  <c r="F113" i="3"/>
  <c r="R48" i="3"/>
  <c r="S48" i="3"/>
  <c r="T48" i="3"/>
  <c r="U48" i="3"/>
  <c r="V48" i="3"/>
  <c r="W48" i="3"/>
  <c r="W52" i="3" s="1"/>
  <c r="X48" i="3"/>
  <c r="X49" i="3" s="1"/>
  <c r="Z48" i="3"/>
  <c r="Z49" i="3" s="1"/>
  <c r="AA48" i="3"/>
  <c r="AA52" i="3" s="1"/>
  <c r="AB48" i="3"/>
  <c r="AB50" i="3" s="1"/>
  <c r="AC48" i="3"/>
  <c r="AC49" i="3" s="1"/>
  <c r="AD48" i="3"/>
  <c r="AD49" i="3" s="1"/>
  <c r="AE48" i="3"/>
  <c r="AE49" i="3" s="1"/>
  <c r="AF48" i="3"/>
  <c r="AF50" i="3" s="1"/>
  <c r="E97" i="3"/>
  <c r="H25" i="3" s="1"/>
  <c r="C97" i="3"/>
  <c r="C98" i="3" s="1"/>
  <c r="B97" i="3"/>
  <c r="D84" i="3"/>
  <c r="D83" i="3"/>
  <c r="D82" i="3"/>
  <c r="D81" i="3"/>
  <c r="C81" i="3"/>
  <c r="C75" i="3" s="1"/>
  <c r="D80" i="3"/>
  <c r="C80" i="3"/>
  <c r="C74" i="3"/>
  <c r="D79" i="3"/>
  <c r="C79" i="3"/>
  <c r="C73" i="3" s="1"/>
  <c r="D78" i="3"/>
  <c r="C78" i="3"/>
  <c r="C84" i="3" s="1"/>
  <c r="D77" i="3"/>
  <c r="C77" i="3"/>
  <c r="C83" i="3" s="1"/>
  <c r="D76" i="3"/>
  <c r="D75" i="3"/>
  <c r="D74" i="3"/>
  <c r="D73" i="3"/>
  <c r="E50" i="3"/>
  <c r="AG48" i="3"/>
  <c r="AG49" i="3" s="1"/>
  <c r="Q48" i="3"/>
  <c r="P48" i="3"/>
  <c r="O48" i="3"/>
  <c r="N48" i="3"/>
  <c r="M48" i="3"/>
  <c r="L48" i="3"/>
  <c r="K48" i="3"/>
  <c r="J48" i="3"/>
  <c r="I48" i="3"/>
  <c r="H48" i="3"/>
  <c r="G48" i="3"/>
  <c r="F48" i="3"/>
  <c r="A44" i="3"/>
  <c r="E31" i="3"/>
  <c r="D31" i="3"/>
  <c r="A44" i="2"/>
  <c r="G11" i="2"/>
  <c r="E97" i="2"/>
  <c r="N25" i="2" s="1"/>
  <c r="C97" i="2"/>
  <c r="C98" i="2" s="1"/>
  <c r="B97" i="2"/>
  <c r="D73" i="2"/>
  <c r="D74" i="2"/>
  <c r="D75" i="2"/>
  <c r="D76" i="2"/>
  <c r="C77" i="2"/>
  <c r="C83" i="2" s="1"/>
  <c r="D77" i="2"/>
  <c r="C78" i="2"/>
  <c r="C84" i="2" s="1"/>
  <c r="D78" i="2"/>
  <c r="C79" i="2"/>
  <c r="C73" i="2" s="1"/>
  <c r="D79" i="2"/>
  <c r="C80" i="2"/>
  <c r="C74" i="2"/>
  <c r="D80" i="2"/>
  <c r="C81" i="2"/>
  <c r="C75" i="2" s="1"/>
  <c r="D81" i="2"/>
  <c r="D82" i="2"/>
  <c r="D83" i="2"/>
  <c r="D84" i="2"/>
  <c r="H48" i="2"/>
  <c r="F48" i="2"/>
  <c r="G48" i="2"/>
  <c r="T48" i="2"/>
  <c r="L48" i="2"/>
  <c r="R48" i="2"/>
  <c r="O48" i="2"/>
  <c r="J48" i="2"/>
  <c r="P48" i="2"/>
  <c r="U48" i="2"/>
  <c r="K48" i="2"/>
  <c r="M48" i="2"/>
  <c r="Q48" i="2"/>
  <c r="I48" i="2"/>
  <c r="D29" i="2"/>
  <c r="N48" i="2"/>
  <c r="S48" i="2"/>
  <c r="I47" i="2"/>
  <c r="AC52" i="3"/>
  <c r="AG50" i="3"/>
  <c r="Y52" i="3" l="1"/>
  <c r="Q25" i="3"/>
  <c r="AF51" i="3"/>
  <c r="E51" i="3"/>
  <c r="E30" i="3" s="1"/>
  <c r="Y51" i="3"/>
  <c r="AB51" i="3"/>
  <c r="O25" i="3"/>
  <c r="J25" i="3"/>
  <c r="E55" i="2"/>
  <c r="U51" i="2"/>
  <c r="D51" i="2"/>
  <c r="AG51" i="3"/>
  <c r="D51" i="3"/>
  <c r="D30" i="3" s="1"/>
  <c r="C38" i="3"/>
  <c r="C34" i="3"/>
  <c r="AH34" i="3" s="1"/>
  <c r="AF49" i="3"/>
  <c r="S47" i="3"/>
  <c r="X47" i="3"/>
  <c r="X38" i="3" s="1"/>
  <c r="X41" i="3" s="1"/>
  <c r="L47" i="3"/>
  <c r="P47" i="3"/>
  <c r="G47" i="3"/>
  <c r="AD47" i="3"/>
  <c r="AD38" i="3" s="1"/>
  <c r="AD41" i="3" s="1"/>
  <c r="J47" i="3"/>
  <c r="Z47" i="3"/>
  <c r="Z38" i="3" s="1"/>
  <c r="Z41" i="3" s="1"/>
  <c r="D47" i="3"/>
  <c r="H47" i="3"/>
  <c r="F47" i="3"/>
  <c r="AF47" i="3"/>
  <c r="AF38" i="3" s="1"/>
  <c r="AF41" i="3" s="1"/>
  <c r="R47" i="3"/>
  <c r="C47" i="3"/>
  <c r="AE47" i="3"/>
  <c r="AE38" i="3" s="1"/>
  <c r="AE41" i="3" s="1"/>
  <c r="Q47" i="3"/>
  <c r="U47" i="3"/>
  <c r="W47" i="3"/>
  <c r="W38" i="3" s="1"/>
  <c r="W41" i="3" s="1"/>
  <c r="AA50" i="3"/>
  <c r="AA51" i="3" s="1"/>
  <c r="AE52" i="3"/>
  <c r="V40" i="3"/>
  <c r="AC47" i="3"/>
  <c r="AC38" i="3" s="1"/>
  <c r="AC41" i="3" s="1"/>
  <c r="I47" i="3"/>
  <c r="K47" i="3"/>
  <c r="Y47" i="3"/>
  <c r="Y38" i="3" s="1"/>
  <c r="Y41" i="3" s="1"/>
  <c r="L25" i="3"/>
  <c r="AB49" i="3"/>
  <c r="Z50" i="3"/>
  <c r="Z51" i="3" s="1"/>
  <c r="D29" i="3"/>
  <c r="B98" i="2"/>
  <c r="C27" i="2" s="1"/>
  <c r="D27" i="2" s="1"/>
  <c r="E27" i="2" s="1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C34" i="2"/>
  <c r="V34" i="2" s="1"/>
  <c r="O47" i="2"/>
  <c r="U25" i="2"/>
  <c r="I25" i="2"/>
  <c r="O25" i="2"/>
  <c r="L25" i="2"/>
  <c r="S25" i="2"/>
  <c r="T25" i="2"/>
  <c r="K25" i="2"/>
  <c r="Z52" i="3"/>
  <c r="AA49" i="3"/>
  <c r="AC50" i="3"/>
  <c r="AC51" i="3" s="1"/>
  <c r="AE50" i="3"/>
  <c r="AE51" i="3" s="1"/>
  <c r="AE25" i="3"/>
  <c r="AD52" i="3"/>
  <c r="X52" i="3"/>
  <c r="AD50" i="3"/>
  <c r="AD51" i="3" s="1"/>
  <c r="X50" i="3"/>
  <c r="X51" i="3" s="1"/>
  <c r="E29" i="3"/>
  <c r="F50" i="3"/>
  <c r="AF52" i="3"/>
  <c r="AG52" i="3"/>
  <c r="W50" i="3"/>
  <c r="W51" i="3" s="1"/>
  <c r="Y49" i="3"/>
  <c r="AB52" i="3"/>
  <c r="W49" i="3"/>
  <c r="Q25" i="2"/>
  <c r="H25" i="2"/>
  <c r="P25" i="2"/>
  <c r="R25" i="2"/>
  <c r="J25" i="2"/>
  <c r="M25" i="2"/>
  <c r="E50" i="2"/>
  <c r="B98" i="3"/>
  <c r="C27" i="3" s="1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H64" i="3"/>
  <c r="H63" i="3"/>
  <c r="C58" i="3" s="1"/>
  <c r="E64" i="3"/>
  <c r="D64" i="3"/>
  <c r="AF25" i="3"/>
  <c r="P25" i="3"/>
  <c r="AG25" i="3"/>
  <c r="I25" i="3"/>
  <c r="AD25" i="3"/>
  <c r="K25" i="3"/>
  <c r="N25" i="3"/>
  <c r="M25" i="3"/>
  <c r="R37" i="3"/>
  <c r="N47" i="3"/>
  <c r="AA47" i="3"/>
  <c r="AA38" i="3" s="1"/>
  <c r="AA41" i="3" s="1"/>
  <c r="AB47" i="3"/>
  <c r="AB38" i="3" s="1"/>
  <c r="AB41" i="3" s="1"/>
  <c r="E47" i="3"/>
  <c r="T47" i="3"/>
  <c r="V47" i="3"/>
  <c r="V38" i="3" s="1"/>
  <c r="V41" i="3" s="1"/>
  <c r="O47" i="3"/>
  <c r="AG47" i="3"/>
  <c r="AG38" i="3" s="1"/>
  <c r="AG41" i="3" s="1"/>
  <c r="C47" i="2"/>
  <c r="T47" i="2"/>
  <c r="E47" i="2"/>
  <c r="D47" i="2"/>
  <c r="J47" i="2"/>
  <c r="K47" i="2"/>
  <c r="M47" i="2"/>
  <c r="E64" i="2"/>
  <c r="H63" i="2"/>
  <c r="H64" i="2"/>
  <c r="D64" i="2"/>
  <c r="C52" i="2" s="1"/>
  <c r="C33" i="2" s="1"/>
  <c r="S47" i="2"/>
  <c r="H47" i="2"/>
  <c r="F47" i="2"/>
  <c r="L47" i="2"/>
  <c r="Q47" i="2"/>
  <c r="G47" i="2"/>
  <c r="N47" i="2"/>
  <c r="P47" i="2"/>
  <c r="R47" i="2"/>
  <c r="C38" i="2"/>
  <c r="F51" i="3" l="1"/>
  <c r="F30" i="3" s="1"/>
  <c r="F29" i="3"/>
  <c r="C41" i="3"/>
  <c r="C39" i="3"/>
  <c r="C40" i="3" s="1"/>
  <c r="E29" i="2"/>
  <c r="E51" i="2"/>
  <c r="I63" i="3"/>
  <c r="AC58" i="3" s="1"/>
  <c r="G50" i="3"/>
  <c r="G51" i="3" s="1"/>
  <c r="G30" i="3" s="1"/>
  <c r="F50" i="2"/>
  <c r="V58" i="3"/>
  <c r="C59" i="3"/>
  <c r="I64" i="3"/>
  <c r="C52" i="3"/>
  <c r="C33" i="3" s="1"/>
  <c r="D30" i="2"/>
  <c r="C41" i="2"/>
  <c r="C39" i="2"/>
  <c r="C40" i="2" s="1"/>
  <c r="C59" i="2"/>
  <c r="I64" i="2"/>
  <c r="C58" i="2"/>
  <c r="I63" i="2"/>
  <c r="G58" i="3" l="1"/>
  <c r="N58" i="3"/>
  <c r="AF58" i="3"/>
  <c r="Z58" i="3"/>
  <c r="AE58" i="3"/>
  <c r="U58" i="3"/>
  <c r="J58" i="3"/>
  <c r="Q58" i="3"/>
  <c r="I58" i="3"/>
  <c r="M58" i="3"/>
  <c r="R58" i="3"/>
  <c r="X58" i="3"/>
  <c r="H58" i="3"/>
  <c r="W58" i="3"/>
  <c r="D58" i="3"/>
  <c r="E58" i="3"/>
  <c r="AD58" i="3"/>
  <c r="AG58" i="3"/>
  <c r="F58" i="3"/>
  <c r="Y58" i="3"/>
  <c r="L58" i="3"/>
  <c r="S58" i="3"/>
  <c r="P58" i="3"/>
  <c r="AB58" i="3"/>
  <c r="O58" i="3"/>
  <c r="AA58" i="3"/>
  <c r="T58" i="3"/>
  <c r="K58" i="3"/>
  <c r="E30" i="2"/>
  <c r="G50" i="2"/>
  <c r="F51" i="2"/>
  <c r="G29" i="3"/>
  <c r="H50" i="3"/>
  <c r="H51" i="3" s="1"/>
  <c r="H30" i="3" s="1"/>
  <c r="AF59" i="3"/>
  <c r="AF61" i="3" s="1"/>
  <c r="Z59" i="3"/>
  <c r="Z61" i="3" s="1"/>
  <c r="AA59" i="3"/>
  <c r="AA61" i="3" s="1"/>
  <c r="Q59" i="3"/>
  <c r="Q61" i="3" s="1"/>
  <c r="H59" i="3"/>
  <c r="H61" i="3" s="1"/>
  <c r="N59" i="3"/>
  <c r="N61" i="3" s="1"/>
  <c r="AB59" i="3"/>
  <c r="AB61" i="3" s="1"/>
  <c r="L59" i="3"/>
  <c r="L61" i="3" s="1"/>
  <c r="T59" i="3"/>
  <c r="T61" i="3" s="1"/>
  <c r="M59" i="3"/>
  <c r="M61" i="3" s="1"/>
  <c r="F59" i="3"/>
  <c r="F61" i="3" s="1"/>
  <c r="F31" i="3" s="1"/>
  <c r="F32" i="3" s="1"/>
  <c r="W59" i="3"/>
  <c r="W61" i="3" s="1"/>
  <c r="I59" i="3"/>
  <c r="I61" i="3" s="1"/>
  <c r="Y59" i="3"/>
  <c r="Y61" i="3" s="1"/>
  <c r="U59" i="3"/>
  <c r="U61" i="3" s="1"/>
  <c r="G59" i="3"/>
  <c r="G61" i="3" s="1"/>
  <c r="O59" i="3"/>
  <c r="O61" i="3" s="1"/>
  <c r="V59" i="3"/>
  <c r="V61" i="3" s="1"/>
  <c r="P59" i="3"/>
  <c r="P61" i="3" s="1"/>
  <c r="K59" i="3"/>
  <c r="K61" i="3" s="1"/>
  <c r="S59" i="3"/>
  <c r="S61" i="3" s="1"/>
  <c r="D59" i="3"/>
  <c r="AD59" i="3"/>
  <c r="AD61" i="3" s="1"/>
  <c r="X59" i="3"/>
  <c r="X61" i="3" s="1"/>
  <c r="J59" i="3"/>
  <c r="J61" i="3" s="1"/>
  <c r="AC59" i="3"/>
  <c r="AC61" i="3" s="1"/>
  <c r="AG59" i="3"/>
  <c r="AG61" i="3" s="1"/>
  <c r="E59" i="3"/>
  <c r="R59" i="3"/>
  <c r="R61" i="3" s="1"/>
  <c r="AE59" i="3"/>
  <c r="AE61" i="3" s="1"/>
  <c r="O59" i="2"/>
  <c r="O61" i="2" s="1"/>
  <c r="M59" i="2"/>
  <c r="M61" i="2" s="1"/>
  <c r="H59" i="2"/>
  <c r="H61" i="2" s="1"/>
  <c r="T59" i="2"/>
  <c r="T61" i="2" s="1"/>
  <c r="Q59" i="2"/>
  <c r="Q61" i="2" s="1"/>
  <c r="E59" i="2"/>
  <c r="E61" i="2" s="1"/>
  <c r="E31" i="2" s="1"/>
  <c r="F59" i="2"/>
  <c r="L59" i="2"/>
  <c r="L61" i="2" s="1"/>
  <c r="G59" i="2"/>
  <c r="G61" i="2" s="1"/>
  <c r="J59" i="2"/>
  <c r="J61" i="2" s="1"/>
  <c r="N59" i="2"/>
  <c r="N61" i="2" s="1"/>
  <c r="K59" i="2"/>
  <c r="K61" i="2" s="1"/>
  <c r="D59" i="2"/>
  <c r="D61" i="2" s="1"/>
  <c r="D31" i="2" s="1"/>
  <c r="U59" i="2"/>
  <c r="U61" i="2" s="1"/>
  <c r="R59" i="2"/>
  <c r="R61" i="2" s="1"/>
  <c r="I59" i="2"/>
  <c r="I61" i="2" s="1"/>
  <c r="P59" i="2"/>
  <c r="P61" i="2" s="1"/>
  <c r="S59" i="2"/>
  <c r="S61" i="2" s="1"/>
  <c r="M58" i="2"/>
  <c r="Q58" i="2"/>
  <c r="Q40" i="2" s="1"/>
  <c r="O58" i="2"/>
  <c r="S58" i="2"/>
  <c r="S40" i="2" s="1"/>
  <c r="T58" i="2"/>
  <c r="T40" i="2" s="1"/>
  <c r="G58" i="2"/>
  <c r="R58" i="2"/>
  <c r="R40" i="2" s="1"/>
  <c r="J58" i="2"/>
  <c r="E58" i="2"/>
  <c r="F58" i="2"/>
  <c r="P58" i="2"/>
  <c r="P40" i="2" s="1"/>
  <c r="I58" i="2"/>
  <c r="L58" i="2"/>
  <c r="D58" i="2"/>
  <c r="N58" i="2"/>
  <c r="U58" i="2"/>
  <c r="U40" i="2" s="1"/>
  <c r="K58" i="2"/>
  <c r="H58" i="2"/>
  <c r="H50" i="2" l="1"/>
  <c r="G51" i="2"/>
  <c r="F54" i="2"/>
  <c r="F55" i="2" s="1"/>
  <c r="F30" i="2" s="1"/>
  <c r="F61" i="2"/>
  <c r="F31" i="2" s="1"/>
  <c r="F32" i="2" s="1"/>
  <c r="H29" i="3"/>
  <c r="I50" i="3"/>
  <c r="R55" i="3"/>
  <c r="R31" i="3"/>
  <c r="R32" i="3" s="1"/>
  <c r="AG54" i="3"/>
  <c r="AG29" i="3" s="1"/>
  <c r="AG55" i="3"/>
  <c r="AG30" i="3" s="1"/>
  <c r="AG31" i="3"/>
  <c r="AG32" i="3" s="1"/>
  <c r="J55" i="3"/>
  <c r="J31" i="3"/>
  <c r="J32" i="3" s="1"/>
  <c r="AD55" i="3"/>
  <c r="AD30" i="3" s="1"/>
  <c r="AD54" i="3"/>
  <c r="AD29" i="3" s="1"/>
  <c r="AD31" i="3"/>
  <c r="AD32" i="3" s="1"/>
  <c r="S55" i="3"/>
  <c r="S31" i="3"/>
  <c r="S32" i="3" s="1"/>
  <c r="P55" i="3"/>
  <c r="P31" i="3"/>
  <c r="P32" i="3" s="1"/>
  <c r="O55" i="3"/>
  <c r="O31" i="3"/>
  <c r="O32" i="3" s="1"/>
  <c r="U55" i="3"/>
  <c r="U31" i="3"/>
  <c r="U32" i="3" s="1"/>
  <c r="I55" i="3"/>
  <c r="I54" i="3"/>
  <c r="I31" i="3"/>
  <c r="I32" i="3" s="1"/>
  <c r="T55" i="3"/>
  <c r="T31" i="3"/>
  <c r="T32" i="3" s="1"/>
  <c r="AB54" i="3"/>
  <c r="AB29" i="3" s="1"/>
  <c r="AB55" i="3"/>
  <c r="AB30" i="3" s="1"/>
  <c r="AB31" i="3"/>
  <c r="AB32" i="3" s="1"/>
  <c r="H54" i="3"/>
  <c r="H31" i="3"/>
  <c r="AA54" i="3"/>
  <c r="AA29" i="3" s="1"/>
  <c r="AA55" i="3"/>
  <c r="AA30" i="3" s="1"/>
  <c r="AA31" i="3"/>
  <c r="AA32" i="3" s="1"/>
  <c r="AF54" i="3"/>
  <c r="AF29" i="3" s="1"/>
  <c r="AF55" i="3"/>
  <c r="AF30" i="3" s="1"/>
  <c r="AF31" i="3"/>
  <c r="AF32" i="3" s="1"/>
  <c r="AE55" i="3"/>
  <c r="AE30" i="3" s="1"/>
  <c r="AE54" i="3"/>
  <c r="AE29" i="3" s="1"/>
  <c r="AE31" i="3"/>
  <c r="AE32" i="3" s="1"/>
  <c r="AC54" i="3"/>
  <c r="AC29" i="3" s="1"/>
  <c r="AC55" i="3"/>
  <c r="AC30" i="3" s="1"/>
  <c r="AC31" i="3"/>
  <c r="AC32" i="3" s="1"/>
  <c r="X54" i="3"/>
  <c r="X29" i="3" s="1"/>
  <c r="X55" i="3"/>
  <c r="X30" i="3" s="1"/>
  <c r="X31" i="3"/>
  <c r="X32" i="3" s="1"/>
  <c r="K55" i="3"/>
  <c r="K31" i="3"/>
  <c r="K32" i="3" s="1"/>
  <c r="V55" i="3"/>
  <c r="V31" i="3"/>
  <c r="V32" i="3" s="1"/>
  <c r="G54" i="3"/>
  <c r="G31" i="3"/>
  <c r="Y54" i="3"/>
  <c r="Y29" i="3" s="1"/>
  <c r="Y55" i="3"/>
  <c r="Y30" i="3" s="1"/>
  <c r="Y31" i="3"/>
  <c r="Y32" i="3" s="1"/>
  <c r="W55" i="3"/>
  <c r="W30" i="3" s="1"/>
  <c r="W31" i="3"/>
  <c r="W32" i="3" s="1"/>
  <c r="M55" i="3"/>
  <c r="M31" i="3"/>
  <c r="M32" i="3" s="1"/>
  <c r="L55" i="3"/>
  <c r="L31" i="3"/>
  <c r="L32" i="3" s="1"/>
  <c r="N55" i="3"/>
  <c r="N31" i="3"/>
  <c r="N32" i="3" s="1"/>
  <c r="Q55" i="3"/>
  <c r="Q31" i="3"/>
  <c r="Q32" i="3" s="1"/>
  <c r="Z54" i="3"/>
  <c r="Z29" i="3" s="1"/>
  <c r="Z55" i="3"/>
  <c r="Z30" i="3" s="1"/>
  <c r="Z31" i="3"/>
  <c r="Z32" i="3" s="1"/>
  <c r="S31" i="2"/>
  <c r="S32" i="2" s="1"/>
  <c r="I54" i="2"/>
  <c r="I31" i="2"/>
  <c r="I32" i="2" s="1"/>
  <c r="U31" i="2"/>
  <c r="U32" i="2" s="1"/>
  <c r="K31" i="2"/>
  <c r="K32" i="2" s="1"/>
  <c r="J31" i="2"/>
  <c r="J32" i="2" s="1"/>
  <c r="L31" i="2"/>
  <c r="L32" i="2" s="1"/>
  <c r="T31" i="2"/>
  <c r="T32" i="2" s="1"/>
  <c r="M31" i="2"/>
  <c r="M32" i="2" s="1"/>
  <c r="P31" i="2"/>
  <c r="P32" i="2" s="1"/>
  <c r="R31" i="2"/>
  <c r="R32" i="2" s="1"/>
  <c r="N31" i="2"/>
  <c r="N32" i="2" s="1"/>
  <c r="G54" i="2"/>
  <c r="G31" i="2"/>
  <c r="Q31" i="2"/>
  <c r="Q32" i="2" s="1"/>
  <c r="H54" i="2"/>
  <c r="H31" i="2"/>
  <c r="H32" i="2" s="1"/>
  <c r="O31" i="2"/>
  <c r="O32" i="2" s="1"/>
  <c r="F29" i="2" l="1"/>
  <c r="J50" i="3"/>
  <c r="K54" i="3" s="1"/>
  <c r="I51" i="3"/>
  <c r="J54" i="3"/>
  <c r="J29" i="3" s="1"/>
  <c r="I55" i="2"/>
  <c r="I50" i="2"/>
  <c r="H51" i="2"/>
  <c r="H29" i="2"/>
  <c r="H55" i="2"/>
  <c r="G29" i="2"/>
  <c r="G55" i="2"/>
  <c r="G30" i="2" s="1"/>
  <c r="I29" i="3"/>
  <c r="G32" i="3"/>
  <c r="AH31" i="3"/>
  <c r="H32" i="3"/>
  <c r="I30" i="3"/>
  <c r="G32" i="2"/>
  <c r="V32" i="2" s="1"/>
  <c r="V31" i="2"/>
  <c r="K50" i="3" l="1"/>
  <c r="J51" i="3"/>
  <c r="H30" i="2"/>
  <c r="J50" i="2"/>
  <c r="I51" i="2"/>
  <c r="J54" i="2"/>
  <c r="I29" i="2"/>
  <c r="AH32" i="3"/>
  <c r="P49" i="2"/>
  <c r="P52" i="2" s="1"/>
  <c r="Q49" i="2"/>
  <c r="Q52" i="2" s="1"/>
  <c r="O49" i="2"/>
  <c r="O52" i="2" s="1"/>
  <c r="T49" i="2"/>
  <c r="T52" i="2" s="1"/>
  <c r="R49" i="2"/>
  <c r="R52" i="2" s="1"/>
  <c r="S49" i="2"/>
  <c r="S52" i="2" s="1"/>
  <c r="L50" i="3" l="1"/>
  <c r="K51" i="3"/>
  <c r="K30" i="3" s="1"/>
  <c r="L54" i="3"/>
  <c r="J30" i="3"/>
  <c r="K29" i="3"/>
  <c r="J29" i="2"/>
  <c r="J55" i="2"/>
  <c r="K50" i="2"/>
  <c r="J51" i="2"/>
  <c r="K54" i="2"/>
  <c r="I30" i="2"/>
  <c r="J30" i="2" l="1"/>
  <c r="L29" i="3"/>
  <c r="M50" i="3"/>
  <c r="L51" i="3"/>
  <c r="M54" i="3"/>
  <c r="M29" i="3" s="1"/>
  <c r="K29" i="2"/>
  <c r="K55" i="2"/>
  <c r="L50" i="2"/>
  <c r="K51" i="2"/>
  <c r="L54" i="2"/>
  <c r="L30" i="3" l="1"/>
  <c r="N50" i="3"/>
  <c r="M51" i="3"/>
  <c r="M30" i="3" s="1"/>
  <c r="N54" i="3"/>
  <c r="N29" i="3" s="1"/>
  <c r="K30" i="2"/>
  <c r="L29" i="2"/>
  <c r="L55" i="2"/>
  <c r="M50" i="2"/>
  <c r="L51" i="2"/>
  <c r="M54" i="2"/>
  <c r="L30" i="2" l="1"/>
  <c r="O50" i="3"/>
  <c r="N51" i="3"/>
  <c r="N30" i="3" s="1"/>
  <c r="O54" i="3"/>
  <c r="O29" i="3" s="1"/>
  <c r="M29" i="2"/>
  <c r="M55" i="2"/>
  <c r="N50" i="2"/>
  <c r="M51" i="2"/>
  <c r="N54" i="2"/>
  <c r="M30" i="2" l="1"/>
  <c r="P50" i="3"/>
  <c r="O51" i="3"/>
  <c r="O30" i="3" s="1"/>
  <c r="P54" i="3"/>
  <c r="N29" i="2"/>
  <c r="N55" i="2"/>
  <c r="O50" i="2"/>
  <c r="N51" i="2"/>
  <c r="O54" i="2"/>
  <c r="P29" i="3" l="1"/>
  <c r="N30" i="2"/>
  <c r="P51" i="3"/>
  <c r="Q50" i="3"/>
  <c r="Q54" i="3"/>
  <c r="O29" i="2"/>
  <c r="O55" i="2"/>
  <c r="P50" i="2"/>
  <c r="O51" i="2"/>
  <c r="P54" i="2"/>
  <c r="Q51" i="3" l="1"/>
  <c r="Q30" i="3" s="1"/>
  <c r="R50" i="3"/>
  <c r="Q29" i="3"/>
  <c r="R54" i="3"/>
  <c r="P30" i="3"/>
  <c r="O30" i="2"/>
  <c r="P29" i="2"/>
  <c r="P55" i="2"/>
  <c r="Q50" i="2"/>
  <c r="P51" i="2"/>
  <c r="Q54" i="2"/>
  <c r="P30" i="2" l="1"/>
  <c r="R51" i="3"/>
  <c r="R30" i="3" s="1"/>
  <c r="S50" i="3"/>
  <c r="S54" i="3"/>
  <c r="R29" i="3"/>
  <c r="Q29" i="2"/>
  <c r="Q55" i="2"/>
  <c r="R50" i="2"/>
  <c r="Q51" i="2"/>
  <c r="R54" i="2"/>
  <c r="Q30" i="2" l="1"/>
  <c r="S51" i="3"/>
  <c r="S30" i="3" s="1"/>
  <c r="T50" i="3"/>
  <c r="S29" i="3"/>
  <c r="T54" i="3"/>
  <c r="R29" i="2"/>
  <c r="R55" i="2"/>
  <c r="S50" i="2"/>
  <c r="R51" i="2"/>
  <c r="S54" i="2"/>
  <c r="R30" i="2" l="1"/>
  <c r="T51" i="3"/>
  <c r="T30" i="3" s="1"/>
  <c r="U54" i="3"/>
  <c r="U50" i="3"/>
  <c r="T29" i="3"/>
  <c r="S29" i="2"/>
  <c r="S55" i="2"/>
  <c r="T50" i="2"/>
  <c r="S51" i="2"/>
  <c r="T54" i="2"/>
  <c r="S30" i="2" l="1"/>
  <c r="U51" i="3"/>
  <c r="U30" i="3" s="1"/>
  <c r="V54" i="3"/>
  <c r="V50" i="3"/>
  <c r="U29" i="3"/>
  <c r="T29" i="2"/>
  <c r="T55" i="2"/>
  <c r="T51" i="2"/>
  <c r="U54" i="2"/>
  <c r="C50" i="2" s="1"/>
  <c r="V51" i="3" l="1"/>
  <c r="V29" i="3"/>
  <c r="W54" i="3"/>
  <c r="U29" i="2"/>
  <c r="U55" i="2"/>
  <c r="U49" i="2"/>
  <c r="U52" i="2" s="1"/>
  <c r="F49" i="2"/>
  <c r="F52" i="2" s="1"/>
  <c r="F33" i="2" s="1"/>
  <c r="F35" i="2" s="1"/>
  <c r="M49" i="2"/>
  <c r="M52" i="2" s="1"/>
  <c r="K49" i="2"/>
  <c r="K52" i="2" s="1"/>
  <c r="G49" i="2"/>
  <c r="G52" i="2" s="1"/>
  <c r="H49" i="2"/>
  <c r="H52" i="2" s="1"/>
  <c r="J49" i="2"/>
  <c r="J52" i="2" s="1"/>
  <c r="L49" i="2"/>
  <c r="L52" i="2" s="1"/>
  <c r="I56" i="2"/>
  <c r="G56" i="2"/>
  <c r="H56" i="2"/>
  <c r="U56" i="2"/>
  <c r="J56" i="2"/>
  <c r="T56" i="2"/>
  <c r="T33" i="2" s="1"/>
  <c r="R56" i="2"/>
  <c r="R33" i="2" s="1"/>
  <c r="R35" i="2" s="1"/>
  <c r="I49" i="2"/>
  <c r="I52" i="2" s="1"/>
  <c r="D49" i="2"/>
  <c r="D52" i="2" s="1"/>
  <c r="D33" i="2" s="1"/>
  <c r="N49" i="2"/>
  <c r="N52" i="2" s="1"/>
  <c r="E49" i="2"/>
  <c r="E52" i="2" s="1"/>
  <c r="E33" i="2" s="1"/>
  <c r="E35" i="2" s="1"/>
  <c r="C29" i="2"/>
  <c r="S56" i="2"/>
  <c r="S33" i="2" s="1"/>
  <c r="S35" i="2" s="1"/>
  <c r="P56" i="2"/>
  <c r="P33" i="2" s="1"/>
  <c r="P35" i="2" s="1"/>
  <c r="Q56" i="2"/>
  <c r="Q33" i="2" s="1"/>
  <c r="Q35" i="2" s="1"/>
  <c r="O56" i="2"/>
  <c r="O33" i="2" s="1"/>
  <c r="O35" i="2" s="1"/>
  <c r="K56" i="2"/>
  <c r="L56" i="2"/>
  <c r="M56" i="2"/>
  <c r="N56" i="2"/>
  <c r="T30" i="2"/>
  <c r="U30" i="2" l="1"/>
  <c r="C51" i="2"/>
  <c r="I33" i="2"/>
  <c r="I35" i="2" s="1"/>
  <c r="U33" i="2"/>
  <c r="U35" i="2" s="1"/>
  <c r="C30" i="2"/>
  <c r="V30" i="2" s="1"/>
  <c r="W29" i="3"/>
  <c r="C50" i="3"/>
  <c r="V30" i="3"/>
  <c r="C51" i="3"/>
  <c r="C30" i="3" s="1"/>
  <c r="V29" i="2"/>
  <c r="N33" i="2"/>
  <c r="N35" i="2" s="1"/>
  <c r="T35" i="2"/>
  <c r="L33" i="2"/>
  <c r="L35" i="2" s="1"/>
  <c r="H33" i="2"/>
  <c r="H35" i="2" s="1"/>
  <c r="K33" i="2"/>
  <c r="K35" i="2" s="1"/>
  <c r="D35" i="2"/>
  <c r="J33" i="2"/>
  <c r="J35" i="2" s="1"/>
  <c r="G33" i="2"/>
  <c r="G35" i="2" s="1"/>
  <c r="M33" i="2"/>
  <c r="M35" i="2" s="1"/>
  <c r="P38" i="2"/>
  <c r="D38" i="2" l="1"/>
  <c r="C35" i="2"/>
  <c r="AH30" i="3"/>
  <c r="I49" i="3"/>
  <c r="I52" i="3" s="1"/>
  <c r="J49" i="3"/>
  <c r="J52" i="3" s="1"/>
  <c r="F49" i="3"/>
  <c r="F52" i="3" s="1"/>
  <c r="F33" i="3" s="1"/>
  <c r="F35" i="3" s="1"/>
  <c r="C29" i="3"/>
  <c r="D49" i="3"/>
  <c r="D52" i="3" s="1"/>
  <c r="D33" i="3" s="1"/>
  <c r="AG56" i="3"/>
  <c r="AG33" i="3" s="1"/>
  <c r="AG35" i="3" s="1"/>
  <c r="I56" i="3"/>
  <c r="AE56" i="3"/>
  <c r="AE33" i="3" s="1"/>
  <c r="AE35" i="3" s="1"/>
  <c r="L56" i="3"/>
  <c r="S56" i="3"/>
  <c r="AF56" i="3"/>
  <c r="AF33" i="3" s="1"/>
  <c r="AF35" i="3" s="1"/>
  <c r="V56" i="3"/>
  <c r="K49" i="3"/>
  <c r="K52" i="3" s="1"/>
  <c r="V49" i="3"/>
  <c r="V52" i="3" s="1"/>
  <c r="U49" i="3"/>
  <c r="U52" i="3" s="1"/>
  <c r="L49" i="3"/>
  <c r="L52" i="3" s="1"/>
  <c r="N49" i="3"/>
  <c r="N52" i="3" s="1"/>
  <c r="J56" i="3"/>
  <c r="T56" i="3"/>
  <c r="G56" i="3"/>
  <c r="N56" i="3"/>
  <c r="P56" i="3"/>
  <c r="AC56" i="3"/>
  <c r="AC33" i="3" s="1"/>
  <c r="AC35" i="3" s="1"/>
  <c r="M56" i="3"/>
  <c r="O49" i="3"/>
  <c r="O52" i="3" s="1"/>
  <c r="P49" i="3"/>
  <c r="P52" i="3" s="1"/>
  <c r="T49" i="3"/>
  <c r="T52" i="3" s="1"/>
  <c r="T33" i="3" s="1"/>
  <c r="T35" i="3" s="1"/>
  <c r="Q49" i="3"/>
  <c r="Q52" i="3" s="1"/>
  <c r="H49" i="3"/>
  <c r="H52" i="3" s="1"/>
  <c r="AD56" i="3"/>
  <c r="AD33" i="3" s="1"/>
  <c r="AD35" i="3" s="1"/>
  <c r="AB56" i="3"/>
  <c r="AB33" i="3" s="1"/>
  <c r="AB35" i="3" s="1"/>
  <c r="Y56" i="3"/>
  <c r="Y33" i="3" s="1"/>
  <c r="Y35" i="3" s="1"/>
  <c r="Q56" i="3"/>
  <c r="O56" i="3"/>
  <c r="X56" i="3"/>
  <c r="X33" i="3" s="1"/>
  <c r="X35" i="3" s="1"/>
  <c r="G49" i="3"/>
  <c r="G52" i="3" s="1"/>
  <c r="G33" i="3" s="1"/>
  <c r="G35" i="3" s="1"/>
  <c r="S49" i="3"/>
  <c r="S52" i="3" s="1"/>
  <c r="M49" i="3"/>
  <c r="M52" i="3" s="1"/>
  <c r="M33" i="3" s="1"/>
  <c r="M35" i="3" s="1"/>
  <c r="E49" i="3"/>
  <c r="E52" i="3" s="1"/>
  <c r="E33" i="3" s="1"/>
  <c r="E35" i="3" s="1"/>
  <c r="R49" i="3"/>
  <c r="R52" i="3" s="1"/>
  <c r="R56" i="3"/>
  <c r="U56" i="3"/>
  <c r="AA56" i="3"/>
  <c r="AA33" i="3" s="1"/>
  <c r="AA35" i="3" s="1"/>
  <c r="W56" i="3"/>
  <c r="W33" i="3" s="1"/>
  <c r="W35" i="3" s="1"/>
  <c r="Z56" i="3"/>
  <c r="Z33" i="3" s="1"/>
  <c r="Z35" i="3" s="1"/>
  <c r="H56" i="3"/>
  <c r="K56" i="3"/>
  <c r="V33" i="2"/>
  <c r="V35" i="2" s="1"/>
  <c r="P41" i="2"/>
  <c r="P39" i="2"/>
  <c r="Q38" i="2"/>
  <c r="D41" i="2" l="1"/>
  <c r="D40" i="2"/>
  <c r="V33" i="3"/>
  <c r="V35" i="3" s="1"/>
  <c r="P33" i="3"/>
  <c r="P35" i="3" s="1"/>
  <c r="E38" i="2"/>
  <c r="D39" i="2"/>
  <c r="R33" i="3"/>
  <c r="R35" i="3" s="1"/>
  <c r="Q33" i="3"/>
  <c r="Q35" i="3" s="1"/>
  <c r="L33" i="3"/>
  <c r="L35" i="3" s="1"/>
  <c r="D38" i="3"/>
  <c r="AH29" i="3"/>
  <c r="C35" i="3"/>
  <c r="J33" i="3"/>
  <c r="J35" i="3" s="1"/>
  <c r="S33" i="3"/>
  <c r="S35" i="3" s="1"/>
  <c r="H33" i="3"/>
  <c r="H35" i="3" s="1"/>
  <c r="O33" i="3"/>
  <c r="O35" i="3" s="1"/>
  <c r="N33" i="3"/>
  <c r="N35" i="3" s="1"/>
  <c r="U33" i="3"/>
  <c r="U35" i="3" s="1"/>
  <c r="K33" i="3"/>
  <c r="K35" i="3" s="1"/>
  <c r="D35" i="3"/>
  <c r="I33" i="3"/>
  <c r="I35" i="3" s="1"/>
  <c r="Q41" i="2"/>
  <c r="Q39" i="2"/>
  <c r="R38" i="2"/>
  <c r="E39" i="2" l="1"/>
  <c r="E40" i="2"/>
  <c r="F38" i="2"/>
  <c r="F40" i="2" s="1"/>
  <c r="E41" i="2"/>
  <c r="E38" i="3"/>
  <c r="D39" i="3"/>
  <c r="D40" i="3" s="1"/>
  <c r="D41" i="3"/>
  <c r="AH33" i="3"/>
  <c r="AH35" i="3" s="1"/>
  <c r="F41" i="2"/>
  <c r="F39" i="2"/>
  <c r="R41" i="2"/>
  <c r="R39" i="2"/>
  <c r="S38" i="2"/>
  <c r="G38" i="2" l="1"/>
  <c r="G40" i="2" s="1"/>
  <c r="E39" i="3"/>
  <c r="E40" i="3" s="1"/>
  <c r="F38" i="3"/>
  <c r="E41" i="3"/>
  <c r="G41" i="2"/>
  <c r="G39" i="2"/>
  <c r="S41" i="2"/>
  <c r="S39" i="2"/>
  <c r="T38" i="2"/>
  <c r="H38" i="2" l="1"/>
  <c r="H40" i="2" s="1"/>
  <c r="G38" i="3"/>
  <c r="F41" i="3"/>
  <c r="F39" i="3"/>
  <c r="F40" i="3" s="1"/>
  <c r="I38" i="2"/>
  <c r="I40" i="2" s="1"/>
  <c r="H41" i="2"/>
  <c r="T41" i="2"/>
  <c r="T39" i="2"/>
  <c r="U38" i="2"/>
  <c r="H39" i="2" l="1"/>
  <c r="G41" i="3"/>
  <c r="G39" i="3"/>
  <c r="G40" i="3" s="1"/>
  <c r="H38" i="3"/>
  <c r="I39" i="2"/>
  <c r="I41" i="2"/>
  <c r="J38" i="2"/>
  <c r="J40" i="2" s="1"/>
  <c r="U41" i="2"/>
  <c r="U39" i="2"/>
  <c r="I38" i="3" l="1"/>
  <c r="H41" i="3"/>
  <c r="H39" i="3"/>
  <c r="H40" i="3" s="1"/>
  <c r="J41" i="2"/>
  <c r="K38" i="2"/>
  <c r="K40" i="2" s="1"/>
  <c r="J39" i="2"/>
  <c r="I41" i="3" l="1"/>
  <c r="I39" i="3"/>
  <c r="I40" i="3" s="1"/>
  <c r="J38" i="3"/>
  <c r="K41" i="2"/>
  <c r="L38" i="2"/>
  <c r="L40" i="2" s="1"/>
  <c r="K39" i="2"/>
  <c r="J39" i="3" l="1"/>
  <c r="J40" i="3" s="1"/>
  <c r="K38" i="3"/>
  <c r="J41" i="3"/>
  <c r="L41" i="2"/>
  <c r="M38" i="2"/>
  <c r="M40" i="2" s="1"/>
  <c r="L39" i="2"/>
  <c r="K41" i="3" l="1"/>
  <c r="K39" i="3"/>
  <c r="K40" i="3" s="1"/>
  <c r="L38" i="3"/>
  <c r="M39" i="2"/>
  <c r="M41" i="2"/>
  <c r="N38" i="2"/>
  <c r="N40" i="2" s="1"/>
  <c r="M38" i="3" l="1"/>
  <c r="L41" i="3"/>
  <c r="L39" i="3"/>
  <c r="L40" i="3" s="1"/>
  <c r="N39" i="2"/>
  <c r="N41" i="2"/>
  <c r="O38" i="2"/>
  <c r="O40" i="2" s="1"/>
  <c r="N38" i="3" l="1"/>
  <c r="M41" i="3"/>
  <c r="M39" i="3"/>
  <c r="M40" i="3" s="1"/>
  <c r="O41" i="2"/>
  <c r="O39" i="2"/>
  <c r="V40" i="2" l="1"/>
  <c r="O38" i="3"/>
  <c r="N41" i="3"/>
  <c r="N39" i="3"/>
  <c r="N40" i="3" s="1"/>
  <c r="O41" i="3" l="1"/>
  <c r="O39" i="3"/>
  <c r="O40" i="3" s="1"/>
  <c r="P38" i="3"/>
  <c r="P41" i="3" l="1"/>
  <c r="P39" i="3"/>
  <c r="P40" i="3" s="1"/>
  <c r="Q38" i="3"/>
  <c r="Q41" i="3" l="1"/>
  <c r="Q39" i="3"/>
  <c r="Q40" i="3" s="1"/>
  <c r="R38" i="3"/>
  <c r="S38" i="3" l="1"/>
  <c r="R41" i="3"/>
  <c r="R39" i="3"/>
  <c r="R40" i="3" s="1"/>
  <c r="T38" i="3" l="1"/>
  <c r="S41" i="3"/>
  <c r="S39" i="3"/>
  <c r="S40" i="3" s="1"/>
  <c r="T39" i="3" l="1"/>
  <c r="T40" i="3" s="1"/>
  <c r="U38" i="3"/>
  <c r="T41" i="3"/>
  <c r="U41" i="3" l="1"/>
  <c r="U39" i="3"/>
  <c r="U40" i="3" l="1"/>
  <c r="AH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8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取得価額（税抜、円）を半角数字で記入してください。取得価額（その他の経費</t>
        </r>
        <r>
          <rPr>
            <b/>
            <sz val="9"/>
            <color indexed="81"/>
            <rFont val="ＭＳ Ｐゴシック"/>
            <family val="3"/>
            <charset val="128"/>
          </rPr>
          <t>（据付工事費、搬送費等）</t>
        </r>
        <r>
          <rPr>
            <b/>
            <sz val="11"/>
            <color indexed="81"/>
            <rFont val="ＭＳ Ｐゴシック"/>
            <family val="3"/>
            <charset val="128"/>
          </rPr>
          <t>を含めてリースを希望される場合は、その額を含めた額とします。）は、税抜千円単位としてください。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1" shapeId="0" xr:uid="{4013955F-C343-4636-9557-CC993843BE63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0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貸付期間年数「2～9（半角数字）」を記入してください。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2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6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第1回目の支払時の貸付月数に係る掛数</t>
        </r>
      </text>
    </comment>
    <comment ref="E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8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取得価額（税抜、円）を半角数字で記入してください。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F9" authorId="1" shapeId="0" xr:uid="{E8966314-20BD-40E1-AF17-A775C06B1324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0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貸付期間年数「10～15（半角数字）」を記入してください。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6124B432-CA1D-4AC2-A915-BA24BB7A6324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2" authorId="0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6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第1回目の支払い時の貸付月数に係る掛数</t>
        </r>
      </text>
    </comment>
    <comment ref="E6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sharedStrings.xml><?xml version="1.0" encoding="utf-8"?>
<sst xmlns="http://schemas.openxmlformats.org/spreadsheetml/2006/main" count="256" uniqueCount="88">
  <si>
    <t>月（貸付開始）</t>
  </si>
  <si>
    <t>年</t>
    <rPh sb="0" eb="1">
      <t>ネン</t>
    </rPh>
    <phoneticPr fontId="17"/>
  </si>
  <si>
    <t>円</t>
    <rPh sb="0" eb="1">
      <t>エン</t>
    </rPh>
    <phoneticPr fontId="17"/>
  </si>
  <si>
    <t>貸付機械施設</t>
    <rPh sb="0" eb="2">
      <t>カシツケ</t>
    </rPh>
    <rPh sb="2" eb="4">
      <t>キカイ</t>
    </rPh>
    <rPh sb="4" eb="6">
      <t>シセツ</t>
    </rPh>
    <phoneticPr fontId="17"/>
  </si>
  <si>
    <t>運搬用機械
（自走式のもの）</t>
    <rPh sb="0" eb="3">
      <t>ウンパンヨウ</t>
    </rPh>
    <rPh sb="3" eb="5">
      <t>キカイ</t>
    </rPh>
    <rPh sb="7" eb="10">
      <t>ジソウシキ</t>
    </rPh>
    <phoneticPr fontId="17"/>
  </si>
  <si>
    <t>精密電子機器</t>
    <rPh sb="0" eb="2">
      <t>セイミツ</t>
    </rPh>
    <rPh sb="2" eb="4">
      <t>デンシ</t>
    </rPh>
    <rPh sb="4" eb="6">
      <t>キキ</t>
    </rPh>
    <phoneticPr fontId="17"/>
  </si>
  <si>
    <t>食肉・鶏卵処理関係機器
（「1」、「2」以外）</t>
    <rPh sb="0" eb="2">
      <t>ショクニク</t>
    </rPh>
    <rPh sb="3" eb="5">
      <t>ケイラン</t>
    </rPh>
    <rPh sb="5" eb="7">
      <t>ショリ</t>
    </rPh>
    <rPh sb="7" eb="9">
      <t>カンケイ</t>
    </rPh>
    <rPh sb="9" eb="11">
      <t>キキ</t>
    </rPh>
    <rPh sb="20" eb="22">
      <t>イガイ</t>
    </rPh>
    <phoneticPr fontId="17"/>
  </si>
  <si>
    <t>番号</t>
    <rPh sb="0" eb="2">
      <t>バンゴウ</t>
    </rPh>
    <phoneticPr fontId="17"/>
  </si>
  <si>
    <t>分類</t>
    <rPh sb="0" eb="2">
      <t>ブンルイ</t>
    </rPh>
    <phoneticPr fontId="17"/>
  </si>
  <si>
    <t>機械施設名</t>
    <rPh sb="0" eb="2">
      <t>キカイ</t>
    </rPh>
    <rPh sb="2" eb="4">
      <t>シセツ</t>
    </rPh>
    <rPh sb="4" eb="5">
      <t>メイ</t>
    </rPh>
    <phoneticPr fontId="17"/>
  </si>
  <si>
    <t>ブルドーザー、トラクター、フォークリフト、動力運搬車、ショベルローダー、散水車、その他自走式機具類
（ただし、道路運送車両法に規定する登録、車両番号の指定又は市町村長交付の標識を受けるものは除く。）</t>
    <rPh sb="21" eb="23">
      <t>ドウリョク</t>
    </rPh>
    <rPh sb="23" eb="26">
      <t>ウンパンシャ</t>
    </rPh>
    <rPh sb="36" eb="39">
      <t>サンスイシャ</t>
    </rPh>
    <rPh sb="42" eb="43">
      <t>タ</t>
    </rPh>
    <rPh sb="43" eb="46">
      <t>ジソウシキ</t>
    </rPh>
    <rPh sb="46" eb="48">
      <t>キグ</t>
    </rPh>
    <rPh sb="48" eb="49">
      <t>ルイ</t>
    </rPh>
    <rPh sb="55" eb="57">
      <t>ドウロ</t>
    </rPh>
    <rPh sb="57" eb="59">
      <t>ウンソウ</t>
    </rPh>
    <rPh sb="59" eb="61">
      <t>シャリョウ</t>
    </rPh>
    <rPh sb="61" eb="62">
      <t>ホウ</t>
    </rPh>
    <rPh sb="63" eb="65">
      <t>キテイ</t>
    </rPh>
    <rPh sb="67" eb="69">
      <t>トウロク</t>
    </rPh>
    <rPh sb="70" eb="72">
      <t>シャリョウ</t>
    </rPh>
    <rPh sb="72" eb="74">
      <t>バンゴウ</t>
    </rPh>
    <rPh sb="75" eb="77">
      <t>シテイ</t>
    </rPh>
    <rPh sb="77" eb="78">
      <t>マタ</t>
    </rPh>
    <rPh sb="79" eb="81">
      <t>シチョウ</t>
    </rPh>
    <rPh sb="81" eb="83">
      <t>ソンチョウ</t>
    </rPh>
    <rPh sb="83" eb="85">
      <t>コウフ</t>
    </rPh>
    <rPh sb="86" eb="88">
      <t>ヒョウシキ</t>
    </rPh>
    <rPh sb="89" eb="90">
      <t>ウ</t>
    </rPh>
    <rPh sb="95" eb="96">
      <t>ノゾ</t>
    </rPh>
    <phoneticPr fontId="17"/>
  </si>
  <si>
    <t>電子計量器、電子式セリ機、電子式自動生乳検査機類</t>
    <rPh sb="0" eb="2">
      <t>デンシ</t>
    </rPh>
    <rPh sb="2" eb="5">
      <t>ケイリョウキ</t>
    </rPh>
    <rPh sb="6" eb="8">
      <t>デンシ</t>
    </rPh>
    <rPh sb="8" eb="9">
      <t>シキ</t>
    </rPh>
    <rPh sb="11" eb="12">
      <t>キ</t>
    </rPh>
    <rPh sb="13" eb="15">
      <t>デンシ</t>
    </rPh>
    <rPh sb="15" eb="16">
      <t>シキ</t>
    </rPh>
    <rPh sb="16" eb="18">
      <t>ジドウ</t>
    </rPh>
    <rPh sb="18" eb="20">
      <t>セイニュウ</t>
    </rPh>
    <rPh sb="20" eb="22">
      <t>ケンサ</t>
    </rPh>
    <rPh sb="22" eb="23">
      <t>キ</t>
    </rPh>
    <rPh sb="23" eb="24">
      <t>ルイ</t>
    </rPh>
    <phoneticPr fontId="17"/>
  </si>
  <si>
    <t>冷凍機、皮剥機、ベルトコンベアー、エアーナイフ、スライサー類</t>
    <rPh sb="0" eb="3">
      <t>レイトウキ</t>
    </rPh>
    <rPh sb="4" eb="5">
      <t>カワ</t>
    </rPh>
    <rPh sb="5" eb="6">
      <t>ハ</t>
    </rPh>
    <rPh sb="6" eb="7">
      <t>キ</t>
    </rPh>
    <rPh sb="29" eb="30">
      <t>ルイ</t>
    </rPh>
    <phoneticPr fontId="17"/>
  </si>
  <si>
    <t>上記1,2,3以外の機器</t>
    <rPh sb="0" eb="2">
      <t>ジョウキ</t>
    </rPh>
    <rPh sb="7" eb="9">
      <t>イガイ</t>
    </rPh>
    <rPh sb="10" eb="12">
      <t>キキ</t>
    </rPh>
    <phoneticPr fontId="17"/>
  </si>
  <si>
    <t>据付固定式のもの</t>
    <rPh sb="0" eb="2">
      <t>スエツケ</t>
    </rPh>
    <rPh sb="2" eb="4">
      <t>コテイ</t>
    </rPh>
    <rPh sb="4" eb="5">
      <t>シキ</t>
    </rPh>
    <phoneticPr fontId="17"/>
  </si>
  <si>
    <t>据付固定以外のもの</t>
    <rPh sb="0" eb="2">
      <t>スエツケ</t>
    </rPh>
    <rPh sb="2" eb="4">
      <t>コテイ</t>
    </rPh>
    <rPh sb="4" eb="6">
      <t>イガイ</t>
    </rPh>
    <phoneticPr fontId="17"/>
  </si>
  <si>
    <t>バルククーラー、搾乳ロボット、パイプラインミルカー、ミルキングパーラー、孵卵器、保存器、カーテン巻上げ機、簡易式厩舎、その他据置固定式のもの</t>
    <rPh sb="8" eb="10">
      <t>サクニュウ</t>
    </rPh>
    <rPh sb="36" eb="39">
      <t>フランキ</t>
    </rPh>
    <rPh sb="40" eb="42">
      <t>ホゾン</t>
    </rPh>
    <rPh sb="42" eb="43">
      <t>キ</t>
    </rPh>
    <rPh sb="48" eb="49">
      <t>マ</t>
    </rPh>
    <rPh sb="49" eb="50">
      <t>ア</t>
    </rPh>
    <rPh sb="51" eb="52">
      <t>キ</t>
    </rPh>
    <rPh sb="53" eb="55">
      <t>カンイ</t>
    </rPh>
    <rPh sb="55" eb="56">
      <t>シキ</t>
    </rPh>
    <rPh sb="56" eb="58">
      <t>キュウシャ</t>
    </rPh>
    <rPh sb="61" eb="62">
      <t>タ</t>
    </rPh>
    <rPh sb="62" eb="64">
      <t>スエオキ</t>
    </rPh>
    <rPh sb="64" eb="66">
      <t>コテイ</t>
    </rPh>
    <rPh sb="66" eb="67">
      <t>シキ</t>
    </rPh>
    <phoneticPr fontId="17"/>
  </si>
  <si>
    <t>プラウ、ハロー、ブロードキャスター、ハーベスター、フロントローダー、ロールベーラー、ベールグラブ、ラッピングマシン、パケットミルカー、その他据置固定式以外のもの</t>
    <rPh sb="69" eb="70">
      <t>タ</t>
    </rPh>
    <rPh sb="70" eb="72">
      <t>スエオキ</t>
    </rPh>
    <rPh sb="72" eb="74">
      <t>コテイ</t>
    </rPh>
    <rPh sb="74" eb="75">
      <t>シキ</t>
    </rPh>
    <rPh sb="75" eb="77">
      <t>イガイ</t>
    </rPh>
    <phoneticPr fontId="17"/>
  </si>
  <si>
    <t>複合投票システム装置、オッズ盤、発馬機、ターフビジョン装置、中型映像装置類</t>
    <rPh sb="0" eb="2">
      <t>フクゴウ</t>
    </rPh>
    <rPh sb="2" eb="4">
      <t>トウヒョウ</t>
    </rPh>
    <rPh sb="8" eb="10">
      <t>ソウチ</t>
    </rPh>
    <rPh sb="14" eb="15">
      <t>バン</t>
    </rPh>
    <rPh sb="16" eb="18">
      <t>ハツバ</t>
    </rPh>
    <rPh sb="18" eb="19">
      <t>キ</t>
    </rPh>
    <rPh sb="27" eb="29">
      <t>ソウチ</t>
    </rPh>
    <rPh sb="30" eb="32">
      <t>チュウガタ</t>
    </rPh>
    <rPh sb="32" eb="34">
      <t>エイゾウ</t>
    </rPh>
    <rPh sb="34" eb="36">
      <t>ソウチ</t>
    </rPh>
    <rPh sb="36" eb="37">
      <t>ルイ</t>
    </rPh>
    <phoneticPr fontId="17"/>
  </si>
  <si>
    <t>これらの装置のうち据置固定式以外のもの</t>
    <rPh sb="4" eb="6">
      <t>ソウチ</t>
    </rPh>
    <rPh sb="9" eb="11">
      <t>スエオキ</t>
    </rPh>
    <rPh sb="11" eb="13">
      <t>コテイ</t>
    </rPh>
    <rPh sb="13" eb="14">
      <t>シキ</t>
    </rPh>
    <rPh sb="14" eb="16">
      <t>イガイ</t>
    </rPh>
    <phoneticPr fontId="17"/>
  </si>
  <si>
    <t>○　貸付期間別残価率表</t>
    <rPh sb="2" eb="4">
      <t>カシツケ</t>
    </rPh>
    <rPh sb="4" eb="6">
      <t>キカン</t>
    </rPh>
    <rPh sb="6" eb="7">
      <t>ベツ</t>
    </rPh>
    <rPh sb="7" eb="9">
      <t>ザンカ</t>
    </rPh>
    <rPh sb="9" eb="10">
      <t>リツ</t>
    </rPh>
    <rPh sb="10" eb="11">
      <t>ヒョウ</t>
    </rPh>
    <phoneticPr fontId="17"/>
  </si>
  <si>
    <t>貸付期間（年）</t>
    <rPh sb="0" eb="2">
      <t>カシツケ</t>
    </rPh>
    <rPh sb="2" eb="4">
      <t>キカン</t>
    </rPh>
    <rPh sb="5" eb="6">
      <t>ネン</t>
    </rPh>
    <phoneticPr fontId="17"/>
  </si>
  <si>
    <t>支払合計額</t>
    <phoneticPr fontId="17"/>
  </si>
  <si>
    <t>支払済額の累計</t>
    <rPh sb="0" eb="2">
      <t>シハライ</t>
    </rPh>
    <rPh sb="2" eb="3">
      <t>ズ</t>
    </rPh>
    <rPh sb="3" eb="4">
      <t>ガク</t>
    </rPh>
    <rPh sb="5" eb="7">
      <t>ルイケイ</t>
    </rPh>
    <phoneticPr fontId="17"/>
  </si>
  <si>
    <t>貸付料の消費税</t>
    <rPh sb="0" eb="2">
      <t>カシツケ</t>
    </rPh>
    <rPh sb="2" eb="3">
      <t>リョウ</t>
    </rPh>
    <rPh sb="4" eb="7">
      <t>ショウヒゼイ</t>
    </rPh>
    <phoneticPr fontId="17"/>
  </si>
  <si>
    <t>附加貸付料</t>
    <rPh sb="0" eb="2">
      <t>フカ</t>
    </rPh>
    <rPh sb="2" eb="4">
      <t>カシツケ</t>
    </rPh>
    <rPh sb="4" eb="5">
      <t>リョウ</t>
    </rPh>
    <phoneticPr fontId="17"/>
  </si>
  <si>
    <t>譲渡価額</t>
    <rPh sb="0" eb="2">
      <t>ジョウト</t>
    </rPh>
    <rPh sb="2" eb="4">
      <t>カガク</t>
    </rPh>
    <phoneticPr fontId="17"/>
  </si>
  <si>
    <t>支払回次</t>
    <rPh sb="0" eb="2">
      <t>シハライ</t>
    </rPh>
    <rPh sb="2" eb="4">
      <t>カイジ</t>
    </rPh>
    <rPh sb="3" eb="4">
      <t>ジ</t>
    </rPh>
    <phoneticPr fontId="17"/>
  </si>
  <si>
    <t>貸付料支払額</t>
    <rPh sb="0" eb="2">
      <t>カシツケ</t>
    </rPh>
    <rPh sb="2" eb="3">
      <t>リョウ</t>
    </rPh>
    <rPh sb="3" eb="5">
      <t>シハライ</t>
    </rPh>
    <rPh sb="5" eb="6">
      <t>ガク</t>
    </rPh>
    <phoneticPr fontId="17"/>
  </si>
  <si>
    <t>～</t>
    <phoneticPr fontId="17"/>
  </si>
  <si>
    <t>末日納付</t>
    <rPh sb="0" eb="2">
      <t>マツジツ</t>
    </rPh>
    <rPh sb="2" eb="4">
      <t>ノウフ</t>
    </rPh>
    <phoneticPr fontId="17"/>
  </si>
  <si>
    <t>区　　分</t>
    <rPh sb="0" eb="1">
      <t>ク</t>
    </rPh>
    <rPh sb="3" eb="4">
      <t>ブン</t>
    </rPh>
    <phoneticPr fontId="17"/>
  </si>
  <si>
    <t>計</t>
    <rPh sb="0" eb="1">
      <t>ケイ</t>
    </rPh>
    <phoneticPr fontId="17"/>
  </si>
  <si>
    <t>基本貸付料</t>
    <rPh sb="0" eb="2">
      <t>キホン</t>
    </rPh>
    <rPh sb="2" eb="4">
      <t>カシツケ</t>
    </rPh>
    <rPh sb="4" eb="5">
      <t>リョウ</t>
    </rPh>
    <phoneticPr fontId="17"/>
  </si>
  <si>
    <t>信用保険料
の計</t>
    <rPh sb="0" eb="2">
      <t>シンヨウ</t>
    </rPh>
    <rPh sb="2" eb="4">
      <t>ホケン</t>
    </rPh>
    <rPh sb="4" eb="5">
      <t>リョウ</t>
    </rPh>
    <rPh sb="7" eb="8">
      <t>ケイ</t>
    </rPh>
    <phoneticPr fontId="17"/>
  </si>
  <si>
    <t>最終回の基本貸付料</t>
    <rPh sb="0" eb="2">
      <t>サイシュウ</t>
    </rPh>
    <rPh sb="2" eb="3">
      <t>カイ</t>
    </rPh>
    <rPh sb="4" eb="6">
      <t>キホン</t>
    </rPh>
    <rPh sb="6" eb="8">
      <t>カシツケ</t>
    </rPh>
    <rPh sb="8" eb="9">
      <t>リョウ</t>
    </rPh>
    <phoneticPr fontId="17"/>
  </si>
  <si>
    <t>基本貸付料の消費税</t>
    <rPh sb="0" eb="2">
      <t>キホン</t>
    </rPh>
    <rPh sb="2" eb="4">
      <t>カシツケ</t>
    </rPh>
    <rPh sb="4" eb="5">
      <t>リョウ</t>
    </rPh>
    <rPh sb="6" eb="9">
      <t>ショウヒゼイ</t>
    </rPh>
    <phoneticPr fontId="17"/>
  </si>
  <si>
    <t>基本貸付料（48行目の数字が「0」の場合、数字が入る。）</t>
    <rPh sb="0" eb="2">
      <t>キホン</t>
    </rPh>
    <rPh sb="2" eb="4">
      <t>カシツケ</t>
    </rPh>
    <rPh sb="4" eb="5">
      <t>リョウ</t>
    </rPh>
    <rPh sb="8" eb="9">
      <t>ギョウ</t>
    </rPh>
    <rPh sb="9" eb="10">
      <t>メ</t>
    </rPh>
    <rPh sb="11" eb="13">
      <t>スウジ</t>
    </rPh>
    <rPh sb="18" eb="20">
      <t>バアイ</t>
    </rPh>
    <rPh sb="21" eb="23">
      <t>スウジ</t>
    </rPh>
    <rPh sb="24" eb="25">
      <t>ハイ</t>
    </rPh>
    <phoneticPr fontId="17"/>
  </si>
  <si>
    <t>　「1」か「0」</t>
    <phoneticPr fontId="17"/>
  </si>
  <si>
    <t>取得価額（税抜、円）　：　</t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phoneticPr fontId="17"/>
  </si>
  <si>
    <t>貸付期間（年数）　：　</t>
    <rPh sb="0" eb="2">
      <t>カシツケ</t>
    </rPh>
    <rPh sb="2" eb="4">
      <t>キカン</t>
    </rPh>
    <rPh sb="5" eb="7">
      <t>ネンスウ</t>
    </rPh>
    <phoneticPr fontId="17"/>
  </si>
  <si>
    <t>貸付期間（年月日）　：　</t>
    <rPh sb="0" eb="2">
      <t>カシツケ</t>
    </rPh>
    <rPh sb="2" eb="4">
      <t>キカン</t>
    </rPh>
    <rPh sb="5" eb="8">
      <t>ネンガッピ</t>
    </rPh>
    <phoneticPr fontId="17"/>
  </si>
  <si>
    <t>基本貸付料に係る
消費税額</t>
    <rPh sb="0" eb="2">
      <t>キホン</t>
    </rPh>
    <rPh sb="2" eb="4">
      <t>カシツケ</t>
    </rPh>
    <rPh sb="4" eb="5">
      <t>リョウ</t>
    </rPh>
    <rPh sb="6" eb="7">
      <t>カカ</t>
    </rPh>
    <rPh sb="12" eb="13">
      <t>ガク</t>
    </rPh>
    <phoneticPr fontId="17"/>
  </si>
  <si>
    <t>譲渡価額に係る
消費税額</t>
    <rPh sb="0" eb="2">
      <t>ジョウト</t>
    </rPh>
    <rPh sb="2" eb="4">
      <t>カガク</t>
    </rPh>
    <rPh sb="5" eb="6">
      <t>カカ</t>
    </rPh>
    <rPh sb="11" eb="12">
      <t>ガク</t>
    </rPh>
    <phoneticPr fontId="17"/>
  </si>
  <si>
    <t>【動産総合保険　保険料率】</t>
    <rPh sb="1" eb="3">
      <t>ドウサン</t>
    </rPh>
    <rPh sb="3" eb="5">
      <t>ソウゴウ</t>
    </rPh>
    <rPh sb="5" eb="7">
      <t>ホケン</t>
    </rPh>
    <rPh sb="8" eb="11">
      <t>ホケンリョウ</t>
    </rPh>
    <rPh sb="11" eb="12">
      <t>リツ</t>
    </rPh>
    <phoneticPr fontId="17"/>
  </si>
  <si>
    <t>動産総合保険料</t>
    <rPh sb="0" eb="2">
      <t>ドウサン</t>
    </rPh>
    <rPh sb="2" eb="4">
      <t>ソウゴウ</t>
    </rPh>
    <phoneticPr fontId="17"/>
  </si>
  <si>
    <t>支払終了</t>
    <rPh sb="0" eb="2">
      <t>シハラ</t>
    </rPh>
    <rPh sb="2" eb="4">
      <t>シュウリョウ</t>
    </rPh>
    <phoneticPr fontId="17"/>
  </si>
  <si>
    <t>信用保険料</t>
    <rPh sb="4" eb="5">
      <t>リョウ</t>
    </rPh>
    <phoneticPr fontId="17"/>
  </si>
  <si>
    <t>附加貸付料＝</t>
    <rPh sb="0" eb="2">
      <t>フカ</t>
    </rPh>
    <rPh sb="2" eb="4">
      <t>カシツケ</t>
    </rPh>
    <rPh sb="4" eb="5">
      <t>リョウ</t>
    </rPh>
    <phoneticPr fontId="17"/>
  </si>
  <si>
    <t>（※新規に信用保険に加入した場合の計算です。既加入している場合は、別計算となります。）</t>
    <rPh sb="2" eb="4">
      <t>シンキ</t>
    </rPh>
    <rPh sb="5" eb="7">
      <t>シンヨウ</t>
    </rPh>
    <rPh sb="7" eb="9">
      <t>ホケン</t>
    </rPh>
    <rPh sb="10" eb="12">
      <t>カニュウ</t>
    </rPh>
    <rPh sb="14" eb="16">
      <t>バアイ</t>
    </rPh>
    <rPh sb="17" eb="19">
      <t>ケイサン</t>
    </rPh>
    <rPh sb="22" eb="23">
      <t>スデ</t>
    </rPh>
    <rPh sb="23" eb="25">
      <t>カニュウ</t>
    </rPh>
    <rPh sb="29" eb="31">
      <t>バアイ</t>
    </rPh>
    <rPh sb="33" eb="34">
      <t>ベツ</t>
    </rPh>
    <rPh sb="34" eb="36">
      <t>ケイサン</t>
    </rPh>
    <phoneticPr fontId="17"/>
  </si>
  <si>
    <t>　この支払リース料等計算書は、Excelを使用し、試算用に作成したものです。</t>
    <rPh sb="3" eb="5">
      <t>シハライ</t>
    </rPh>
    <rPh sb="8" eb="9">
      <t>リョウ</t>
    </rPh>
    <rPh sb="9" eb="10">
      <t>トウ</t>
    </rPh>
    <rPh sb="10" eb="13">
      <t>ケイサンショ</t>
    </rPh>
    <rPh sb="21" eb="23">
      <t>シヨウ</t>
    </rPh>
    <rPh sb="25" eb="27">
      <t>シサン</t>
    </rPh>
    <rPh sb="27" eb="28">
      <t>ヨウ</t>
    </rPh>
    <rPh sb="29" eb="31">
      <t>サクセイ</t>
    </rPh>
    <phoneticPr fontId="23"/>
  </si>
  <si>
    <t>公益財団法人畜産近代化リース協会</t>
    <rPh sb="0" eb="16">
      <t>ザイ</t>
    </rPh>
    <phoneticPr fontId="17"/>
  </si>
  <si>
    <r>
      <t>上記1～5以外の</t>
    </r>
    <r>
      <rPr>
        <sz val="10"/>
        <color indexed="10"/>
        <rFont val="ＭＳ Ｐゴシック"/>
        <family val="3"/>
        <charset val="128"/>
      </rPr>
      <t>競馬関係の機器</t>
    </r>
    <rPh sb="0" eb="2">
      <t>ジョウキ</t>
    </rPh>
    <rPh sb="5" eb="7">
      <t>イガイ</t>
    </rPh>
    <rPh sb="8" eb="10">
      <t>ケイバ</t>
    </rPh>
    <rPh sb="10" eb="12">
      <t>カンケイ</t>
    </rPh>
    <rPh sb="13" eb="15">
      <t>キキ</t>
    </rPh>
    <phoneticPr fontId="17"/>
  </si>
  <si>
    <r>
      <t xml:space="preserve">附加貸付料
</t>
    </r>
    <r>
      <rPr>
        <b/>
        <sz val="8"/>
        <color indexed="8"/>
        <rFont val="ＭＳ Ｐゴシック"/>
        <family val="3"/>
        <charset val="128"/>
      </rPr>
      <t xml:space="preserve">（畜産関係施設のみ）
</t>
    </r>
    <r>
      <rPr>
        <b/>
        <sz val="6"/>
        <color indexed="8"/>
        <rFont val="ＭＳ Ｐゴシック"/>
        <family val="3"/>
        <charset val="128"/>
      </rPr>
      <t>（乗馬・地方競馬用施設リースは無利子）</t>
    </r>
    <rPh sb="0" eb="2">
      <t>フカ</t>
    </rPh>
    <rPh sb="7" eb="9">
      <t>チクサン</t>
    </rPh>
    <rPh sb="9" eb="11">
      <t>カンケイ</t>
    </rPh>
    <rPh sb="11" eb="13">
      <t>シセツ</t>
    </rPh>
    <rPh sb="18" eb="20">
      <t>ジョウバ</t>
    </rPh>
    <rPh sb="21" eb="23">
      <t>チホウ</t>
    </rPh>
    <rPh sb="23" eb="26">
      <t>ケイバヨウ</t>
    </rPh>
    <rPh sb="26" eb="28">
      <t>シセツ</t>
    </rPh>
    <rPh sb="32" eb="35">
      <t>ムリシ</t>
    </rPh>
    <phoneticPr fontId="17"/>
  </si>
  <si>
    <t>～H26.3.31</t>
    <phoneticPr fontId="17"/>
  </si>
  <si>
    <t>消費税率</t>
    <rPh sb="0" eb="3">
      <t>ショウヒゼイ</t>
    </rPh>
    <rPh sb="3" eb="4">
      <t>リツ</t>
    </rPh>
    <phoneticPr fontId="17"/>
  </si>
  <si>
    <t>⇒</t>
    <phoneticPr fontId="17"/>
  </si>
  <si>
    <t>補償対象債権額（リース残債額）</t>
    <rPh sb="11" eb="13">
      <t>ザンサイ</t>
    </rPh>
    <rPh sb="13" eb="14">
      <t>ガク</t>
    </rPh>
    <phoneticPr fontId="17"/>
  </si>
  <si>
    <t>保険料計算の基となる額</t>
    <rPh sb="0" eb="2">
      <t>ホケン</t>
    </rPh>
    <rPh sb="2" eb="3">
      <t>リョウ</t>
    </rPh>
    <rPh sb="3" eb="5">
      <t>ケイサン</t>
    </rPh>
    <rPh sb="6" eb="7">
      <t>モト</t>
    </rPh>
    <rPh sb="10" eb="11">
      <t>ガク</t>
    </rPh>
    <phoneticPr fontId="17"/>
  </si>
  <si>
    <t>支払保険金額
（回収金0と仮定したとき）</t>
    <rPh sb="0" eb="2">
      <t>シハライ</t>
    </rPh>
    <rPh sb="2" eb="4">
      <t>ホケン</t>
    </rPh>
    <rPh sb="4" eb="6">
      <t>キンガク</t>
    </rPh>
    <rPh sb="8" eb="10">
      <t>カイシュウ</t>
    </rPh>
    <rPh sb="10" eb="11">
      <t>キン</t>
    </rPh>
    <rPh sb="13" eb="15">
      <t>カテイ</t>
    </rPh>
    <phoneticPr fontId="17"/>
  </si>
  <si>
    <t>１か０（貸付料等計算用）</t>
    <rPh sb="4" eb="6">
      <t>カシツケ</t>
    </rPh>
    <rPh sb="6" eb="7">
      <t>リョウ</t>
    </rPh>
    <rPh sb="7" eb="8">
      <t>トウ</t>
    </rPh>
    <rPh sb="8" eb="11">
      <t>ケイサンヨウ</t>
    </rPh>
    <phoneticPr fontId="17"/>
  </si>
  <si>
    <t>信用保険計算用⇒</t>
    <rPh sb="0" eb="2">
      <t>シンヨウ</t>
    </rPh>
    <rPh sb="2" eb="4">
      <t>ホケン</t>
    </rPh>
    <rPh sb="4" eb="7">
      <t>ケイサンヨウ</t>
    </rPh>
    <phoneticPr fontId="17"/>
  </si>
  <si>
    <t>貸付料等計算用⇒</t>
    <rPh sb="0" eb="2">
      <t>カシツケ</t>
    </rPh>
    <rPh sb="2" eb="3">
      <t>リョウ</t>
    </rPh>
    <rPh sb="3" eb="4">
      <t>トウ</t>
    </rPh>
    <rPh sb="4" eb="6">
      <t>ケイサン</t>
    </rPh>
    <rPh sb="6" eb="7">
      <t>ヨウ</t>
    </rPh>
    <phoneticPr fontId="17"/>
  </si>
  <si>
    <t>信用保険計算用⇒</t>
    <rPh sb="0" eb="2">
      <t>シンヨウ</t>
    </rPh>
    <rPh sb="2" eb="4">
      <t>ホケン</t>
    </rPh>
    <rPh sb="4" eb="6">
      <t>ケイサン</t>
    </rPh>
    <rPh sb="6" eb="7">
      <t>ヨウ</t>
    </rPh>
    <phoneticPr fontId="17"/>
  </si>
  <si>
    <t>１か０（信用保険計算用）</t>
    <rPh sb="4" eb="6">
      <t>シンヨウ</t>
    </rPh>
    <rPh sb="6" eb="8">
      <t>ホケン</t>
    </rPh>
    <rPh sb="8" eb="10">
      <t>ケイサン</t>
    </rPh>
    <rPh sb="10" eb="11">
      <t>ヨウ</t>
    </rPh>
    <phoneticPr fontId="17"/>
  </si>
  <si>
    <t>【信用保険　保険金支払上限額及び保険期間　一覧】</t>
    <rPh sb="1" eb="3">
      <t>シンヨウ</t>
    </rPh>
    <rPh sb="3" eb="5">
      <t>ホケン</t>
    </rPh>
    <rPh sb="6" eb="9">
      <t>ホケンキン</t>
    </rPh>
    <rPh sb="9" eb="11">
      <t>シハラ</t>
    </rPh>
    <rPh sb="11" eb="13">
      <t>ジョウゲン</t>
    </rPh>
    <rPh sb="13" eb="14">
      <t>ガク</t>
    </rPh>
    <rPh sb="14" eb="15">
      <t>オヨ</t>
    </rPh>
    <rPh sb="16" eb="18">
      <t>ホケン</t>
    </rPh>
    <rPh sb="18" eb="20">
      <t>キカン</t>
    </rPh>
    <rPh sb="21" eb="23">
      <t>イチラン</t>
    </rPh>
    <phoneticPr fontId="17"/>
  </si>
  <si>
    <t>【最終貸付年月日に対応する保険金支払上限額及び保険期間】</t>
    <rPh sb="1" eb="3">
      <t>サイシュウ</t>
    </rPh>
    <rPh sb="3" eb="5">
      <t>カシツ</t>
    </rPh>
    <rPh sb="5" eb="8">
      <t>ネンガッピ</t>
    </rPh>
    <rPh sb="9" eb="11">
      <t>タイオウ</t>
    </rPh>
    <phoneticPr fontId="17"/>
  </si>
  <si>
    <t>最終貸付年月日</t>
    <phoneticPr fontId="17"/>
  </si>
  <si>
    <t>保険金支払
上限額（円）</t>
    <rPh sb="0" eb="3">
      <t>ホケンキン</t>
    </rPh>
    <rPh sb="3" eb="5">
      <t>シハラ</t>
    </rPh>
    <rPh sb="6" eb="8">
      <t>ジョウゲン</t>
    </rPh>
    <rPh sb="8" eb="9">
      <t>ガク</t>
    </rPh>
    <rPh sb="10" eb="11">
      <t>エン</t>
    </rPh>
    <phoneticPr fontId="17"/>
  </si>
  <si>
    <t>保険期間
（年）</t>
    <rPh sb="0" eb="2">
      <t>ホケン</t>
    </rPh>
    <rPh sb="2" eb="4">
      <t>キカン</t>
    </rPh>
    <rPh sb="6" eb="7">
      <t>ネン</t>
    </rPh>
    <phoneticPr fontId="17"/>
  </si>
  <si>
    <t>⇒</t>
    <phoneticPr fontId="17"/>
  </si>
  <si>
    <t>保険金支払上限額（円）</t>
    <rPh sb="0" eb="3">
      <t>ホケンキン</t>
    </rPh>
    <rPh sb="3" eb="5">
      <t>シハラ</t>
    </rPh>
    <rPh sb="5" eb="7">
      <t>ジョウゲン</t>
    </rPh>
    <rPh sb="7" eb="8">
      <t>ガク</t>
    </rPh>
    <rPh sb="9" eb="10">
      <t>エン</t>
    </rPh>
    <phoneticPr fontId="17"/>
  </si>
  <si>
    <t>動産総合保険の貸付施設の区分　：　</t>
    <rPh sb="0" eb="2">
      <t>ドウサン</t>
    </rPh>
    <rPh sb="2" eb="4">
      <t>ソウゴウ</t>
    </rPh>
    <rPh sb="4" eb="6">
      <t>ホケン</t>
    </rPh>
    <rPh sb="7" eb="9">
      <t>カシツケ</t>
    </rPh>
    <rPh sb="9" eb="11">
      <t>シセツ</t>
    </rPh>
    <rPh sb="12" eb="14">
      <t>クブン</t>
    </rPh>
    <phoneticPr fontId="17"/>
  </si>
  <si>
    <t>H26.4.1～H31.9.30</t>
  </si>
  <si>
    <t>H31.10.1～</t>
  </si>
  <si>
    <r>
      <t xml:space="preserve">取得価額（税抜、円）　：　
</t>
    </r>
    <r>
      <rPr>
        <b/>
        <sz val="9"/>
        <color indexed="8"/>
        <rFont val="ＭＳ Ｐゴシック"/>
        <family val="3"/>
        <charset val="128"/>
      </rPr>
      <t>（その他の経費（据付工事費、搬送費等）を含む。）</t>
    </r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rPh sb="17" eb="18">
      <t>タ</t>
    </rPh>
    <rPh sb="19" eb="21">
      <t>ケイヒ</t>
    </rPh>
    <rPh sb="22" eb="24">
      <t>スエツ</t>
    </rPh>
    <rPh sb="24" eb="27">
      <t>コウジヒ</t>
    </rPh>
    <rPh sb="28" eb="30">
      <t>ハンソウ</t>
    </rPh>
    <rPh sb="30" eb="31">
      <t>ヒ</t>
    </rPh>
    <rPh sb="31" eb="32">
      <t>トウ</t>
    </rPh>
    <rPh sb="34" eb="35">
      <t>フク</t>
    </rPh>
    <phoneticPr fontId="17"/>
  </si>
  <si>
    <t>【参考】　信用保険料【支払保険金上限2,000万円の場合】　（加入は任意。畜産関係施設リースのみ加入可。）の計算</t>
    <rPh sb="1" eb="3">
      <t>サンコウ</t>
    </rPh>
    <rPh sb="5" eb="7">
      <t>シンヨウ</t>
    </rPh>
    <rPh sb="7" eb="9">
      <t>ホケン</t>
    </rPh>
    <rPh sb="9" eb="10">
      <t>リョウ</t>
    </rPh>
    <rPh sb="11" eb="13">
      <t>シハラ</t>
    </rPh>
    <rPh sb="13" eb="16">
      <t>ホケンキン</t>
    </rPh>
    <rPh sb="16" eb="18">
      <t>ジョウゲン</t>
    </rPh>
    <rPh sb="23" eb="25">
      <t>マンエン</t>
    </rPh>
    <rPh sb="26" eb="28">
      <t>バアイ</t>
    </rPh>
    <rPh sb="31" eb="33">
      <t>カニュウ</t>
    </rPh>
    <rPh sb="34" eb="36">
      <t>ニンイ</t>
    </rPh>
    <rPh sb="37" eb="39">
      <t>チクサン</t>
    </rPh>
    <rPh sb="39" eb="41">
      <t>カンケイ</t>
    </rPh>
    <rPh sb="41" eb="43">
      <t>シセツ</t>
    </rPh>
    <rPh sb="48" eb="50">
      <t>カニュウ</t>
    </rPh>
    <rPh sb="50" eb="51">
      <t>カ</t>
    </rPh>
    <rPh sb="54" eb="56">
      <t>ケイサン</t>
    </rPh>
    <phoneticPr fontId="17"/>
  </si>
  <si>
    <t>譲渡価額（税抜、円）　：　</t>
    <rPh sb="0" eb="4">
      <t>ジョウトカガク</t>
    </rPh>
    <rPh sb="5" eb="7">
      <t>ゼイヌ</t>
    </rPh>
    <rPh sb="8" eb="9">
      <t>エン</t>
    </rPh>
    <phoneticPr fontId="17"/>
  </si>
  <si>
    <r>
      <t>　ご使用に際しては、</t>
    </r>
    <r>
      <rPr>
        <b/>
        <sz val="14"/>
        <color indexed="10"/>
        <rFont val="ＭＳ Ｐゴシック"/>
        <family val="3"/>
        <charset val="128"/>
      </rPr>
      <t>「黄色で塗りつぶした部分（５箇所）」のみ</t>
    </r>
    <r>
      <rPr>
        <b/>
        <sz val="14"/>
        <color indexed="8"/>
        <rFont val="ＭＳ Ｐゴシック"/>
        <family val="3"/>
        <charset val="128"/>
      </rPr>
      <t>入力（すべて半角）してください。</t>
    </r>
    <rPh sb="2" eb="4">
      <t>シヨウ</t>
    </rPh>
    <rPh sb="5" eb="6">
      <t>サイ</t>
    </rPh>
    <rPh sb="11" eb="13">
      <t>キイロ</t>
    </rPh>
    <rPh sb="14" eb="15">
      <t>ヌ</t>
    </rPh>
    <rPh sb="20" eb="22">
      <t>ブブン</t>
    </rPh>
    <rPh sb="24" eb="26">
      <t>カショ</t>
    </rPh>
    <rPh sb="30" eb="32">
      <t>ニュウリョク</t>
    </rPh>
    <rPh sb="36" eb="38">
      <t>ハンカク</t>
    </rPh>
    <phoneticPr fontId="23"/>
  </si>
  <si>
    <t>H31.10.1～</t>
    <phoneticPr fontId="17"/>
  </si>
  <si>
    <t>附加貸付料率</t>
    <rPh sb="0" eb="6">
      <t>フカカシツケリョウリツ</t>
    </rPh>
    <phoneticPr fontId="17"/>
  </si>
  <si>
    <t>～R4.3.31</t>
    <phoneticPr fontId="17"/>
  </si>
  <si>
    <t>R4.4.1～</t>
    <phoneticPr fontId="17"/>
  </si>
  <si>
    <t>【参考】　附加貸付料率　　～2022.3.31　 ⇒　1.0%
　　　　　　　　　　　　 　     2022.4.1～　　⇒　0.7％　で計算しています。</t>
    <rPh sb="1" eb="3">
      <t>サンコウ</t>
    </rPh>
    <rPh sb="5" eb="11">
      <t>フカカシツケリョウリツ</t>
    </rPh>
    <phoneticPr fontId="17"/>
  </si>
  <si>
    <t>残価率
（残価10%）</t>
    <rPh sb="0" eb="2">
      <t>ザンカ</t>
    </rPh>
    <rPh sb="2" eb="3">
      <t>リツ</t>
    </rPh>
    <rPh sb="5" eb="7">
      <t>ザンカ</t>
    </rPh>
    <phoneticPr fontId="17"/>
  </si>
  <si>
    <r>
      <t>保険料率</t>
    </r>
    <r>
      <rPr>
        <sz val="10"/>
        <color indexed="10"/>
        <rFont val="ＭＳ Ｐゴシック"/>
        <family val="3"/>
        <charset val="128"/>
      </rPr>
      <t>(R8.4改訂）</t>
    </r>
    <r>
      <rPr>
        <sz val="10"/>
        <color indexed="8"/>
        <rFont val="ＭＳ Ｐゴシック"/>
        <family val="3"/>
        <charset val="128"/>
      </rPr>
      <t xml:space="preserve">
（保険金額千円につき）</t>
    </r>
    <rPh sb="0" eb="3">
      <t>ホケンリョウ</t>
    </rPh>
    <rPh sb="3" eb="4">
      <t>リツ</t>
    </rPh>
    <rPh sb="9" eb="11">
      <t>カイテイ</t>
    </rPh>
    <rPh sb="14" eb="16">
      <t>ホケン</t>
    </rPh>
    <rPh sb="16" eb="18">
      <t>キンガク</t>
    </rPh>
    <rPh sb="18" eb="20">
      <t>センエン</t>
    </rPh>
    <phoneticPr fontId="17"/>
  </si>
  <si>
    <r>
      <t>●　支払リース料等計算書　（通常リース用　R8.4改定）　</t>
    </r>
    <r>
      <rPr>
        <b/>
        <sz val="12"/>
        <color indexed="30"/>
        <rFont val="ＭＳ Ｐゴシック"/>
        <family val="3"/>
        <charset val="128"/>
      </rPr>
      <t>　【貸付期間１０～１５年用（A３印刷）】</t>
    </r>
    <rPh sb="2" eb="4">
      <t>シハライ</t>
    </rPh>
    <rPh sb="7" eb="8">
      <t>リョウ</t>
    </rPh>
    <rPh sb="8" eb="9">
      <t>トウ</t>
    </rPh>
    <rPh sb="9" eb="12">
      <t>ケイサンショ</t>
    </rPh>
    <rPh sb="25" eb="27">
      <t>カイテイ</t>
    </rPh>
    <rPh sb="45" eb="47">
      <t>インサツ</t>
    </rPh>
    <phoneticPr fontId="17"/>
  </si>
  <si>
    <r>
      <t>●　支払リース料等計算書　（通常リース用　R8.4改定）</t>
    </r>
    <r>
      <rPr>
        <b/>
        <sz val="12"/>
        <color indexed="8"/>
        <rFont val="ＭＳ Ｐゴシック"/>
        <family val="3"/>
        <charset val="128"/>
      </rPr>
      <t>　</t>
    </r>
    <r>
      <rPr>
        <b/>
        <sz val="12"/>
        <color indexed="30"/>
        <rFont val="ＭＳ Ｐゴシック"/>
        <family val="3"/>
        <charset val="128"/>
      </rPr>
      <t>【貸付期間２～９年用（A4印刷）】</t>
    </r>
    <rPh sb="2" eb="4">
      <t>シハライ</t>
    </rPh>
    <rPh sb="7" eb="8">
      <t>リョウ</t>
    </rPh>
    <rPh sb="8" eb="9">
      <t>トウ</t>
    </rPh>
    <rPh sb="9" eb="12">
      <t>ケイサンショ</t>
    </rPh>
    <rPh sb="14" eb="16">
      <t>ツウジョウ</t>
    </rPh>
    <rPh sb="19" eb="20">
      <t>ヨウ</t>
    </rPh>
    <rPh sb="25" eb="27">
      <t>カイテイ</t>
    </rPh>
    <rPh sb="30" eb="32">
      <t>カシツケ</t>
    </rPh>
    <rPh sb="32" eb="34">
      <t>キカン</t>
    </rPh>
    <rPh sb="37" eb="38">
      <t>ネン</t>
    </rPh>
    <rPh sb="38" eb="39">
      <t>ヨウ</t>
    </rPh>
    <rPh sb="42" eb="44">
      <t>インサツ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</si>
</sst>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00;[Red]\-#,##0.0000"/>
    <numFmt numFmtId="177" formatCode="&quot;第&quot;#&quot;回&quot;"/>
    <numFmt numFmtId="178" formatCode="yyyy&quot;年&quot;m&quot;月&quot;;@"/>
    <numFmt numFmtId="179" formatCode="#&quot;月&quot;"/>
    <numFmt numFmtId="180" formatCode="[$-411]gge&quot;年&quot;m&quot;月&quot;"/>
    <numFmt numFmtId="181" formatCode="0.0%"/>
    <numFmt numFmtId="182" formatCode="[$-411]ge\.m\.d;@"/>
    <numFmt numFmtId="183" formatCode="#,##0.00000;[Red]\-#,##0.00000"/>
    <numFmt numFmtId="184" formatCode="yyyy&quot;年&quot;m&quot;月&quot;d&quot;日&quot;;@"/>
    <numFmt numFmtId="185" formatCode="#,##0.000;[Red]\-#,##0.000"/>
    <numFmt numFmtId="186" formatCode="#,##0.0"/>
  </numFmts>
  <fonts count="58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3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0"/>
      <color indexed="10"/>
      <name val="MS P 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38" fontId="0" fillId="0" borderId="0" xfId="33" applyFont="1" applyProtection="1">
      <alignment vertical="center"/>
    </xf>
    <xf numFmtId="38" fontId="20" fillId="0" borderId="0" xfId="33" applyFont="1" applyProtection="1">
      <alignment vertical="center"/>
    </xf>
    <xf numFmtId="38" fontId="22" fillId="0" borderId="0" xfId="33" applyFont="1" applyAlignment="1" applyProtection="1">
      <alignment horizontal="right" vertical="center"/>
    </xf>
    <xf numFmtId="38" fontId="22" fillId="0" borderId="0" xfId="33" applyFont="1" applyAlignment="1" applyProtection="1">
      <alignment horizontal="left" vertical="center"/>
    </xf>
    <xf numFmtId="38" fontId="26" fillId="0" borderId="0" xfId="33" applyFont="1" applyProtection="1">
      <alignment vertical="center"/>
    </xf>
    <xf numFmtId="38" fontId="22" fillId="0" borderId="0" xfId="33" applyFont="1" applyBorder="1" applyAlignment="1" applyProtection="1">
      <alignment horizontal="right" vertical="center"/>
    </xf>
    <xf numFmtId="38" fontId="26" fillId="0" borderId="0" xfId="33" applyFont="1" applyFill="1" applyBorder="1" applyAlignment="1" applyProtection="1">
      <alignment horizontal="right" vertical="center"/>
    </xf>
    <xf numFmtId="38" fontId="0" fillId="0" borderId="0" xfId="33" applyFont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/>
    </xf>
    <xf numFmtId="38" fontId="21" fillId="0" borderId="11" xfId="33" applyFont="1" applyBorder="1" applyAlignment="1" applyProtection="1">
      <alignment horizontal="left" vertical="center"/>
    </xf>
    <xf numFmtId="38" fontId="21" fillId="0" borderId="12" xfId="33" applyFont="1" applyBorder="1" applyAlignment="1" applyProtection="1">
      <alignment vertical="center" wrapText="1"/>
    </xf>
    <xf numFmtId="38" fontId="21" fillId="0" borderId="13" xfId="33" applyFont="1" applyBorder="1" applyAlignment="1" applyProtection="1">
      <alignment horizontal="left" vertical="center"/>
    </xf>
    <xf numFmtId="38" fontId="21" fillId="0" borderId="14" xfId="33" applyFont="1" applyBorder="1" applyAlignment="1" applyProtection="1">
      <alignment vertical="center" wrapText="1"/>
    </xf>
    <xf numFmtId="38" fontId="21" fillId="0" borderId="15" xfId="33" applyFont="1" applyBorder="1" applyAlignment="1" applyProtection="1">
      <alignment horizontal="left" vertical="center"/>
    </xf>
    <xf numFmtId="38" fontId="21" fillId="0" borderId="0" xfId="33" applyFont="1" applyFill="1" applyBorder="1" applyAlignment="1" applyProtection="1">
      <alignment horizontal="center" vertical="center"/>
    </xf>
    <xf numFmtId="38" fontId="21" fillId="0" borderId="0" xfId="33" applyFont="1" applyBorder="1" applyAlignment="1" applyProtection="1">
      <alignment horizontal="left" vertical="center" wrapText="1"/>
    </xf>
    <xf numFmtId="40" fontId="21" fillId="0" borderId="0" xfId="33" applyNumberFormat="1" applyFont="1" applyBorder="1" applyAlignment="1" applyProtection="1">
      <alignment horizontal="right" vertical="center"/>
    </xf>
    <xf numFmtId="38" fontId="21" fillId="0" borderId="0" xfId="33" applyFont="1" applyBorder="1" applyAlignment="1" applyProtection="1">
      <alignment horizontal="left" vertical="center"/>
    </xf>
    <xf numFmtId="38" fontId="20" fillId="0" borderId="0" xfId="33" applyFont="1" applyAlignment="1" applyProtection="1">
      <alignment horizontal="center" vertical="center"/>
    </xf>
    <xf numFmtId="38" fontId="20" fillId="0" borderId="0" xfId="33" applyFont="1" applyBorder="1" applyAlignment="1" applyProtection="1">
      <alignment horizontal="center" vertical="center"/>
    </xf>
    <xf numFmtId="38" fontId="20" fillId="0" borderId="0" xfId="33" applyFont="1" applyFill="1" applyAlignment="1" applyProtection="1">
      <alignment horizontal="center" vertical="center"/>
    </xf>
    <xf numFmtId="38" fontId="27" fillId="0" borderId="0" xfId="33" applyFont="1" applyFill="1" applyAlignment="1" applyProtection="1">
      <alignment horizontal="center" vertical="center"/>
    </xf>
    <xf numFmtId="177" fontId="45" fillId="15" borderId="16" xfId="0" applyNumberFormat="1" applyFont="1" applyFill="1" applyBorder="1" applyAlignment="1">
      <alignment horizontal="center" vertical="center" wrapText="1"/>
    </xf>
    <xf numFmtId="177" fontId="45" fillId="15" borderId="17" xfId="0" applyNumberFormat="1" applyFont="1" applyFill="1" applyBorder="1" applyAlignment="1">
      <alignment horizontal="center" vertical="center" wrapText="1"/>
    </xf>
    <xf numFmtId="177" fontId="45" fillId="15" borderId="12" xfId="0" applyNumberFormat="1" applyFont="1" applyFill="1" applyBorder="1" applyAlignment="1">
      <alignment horizontal="center" vertical="center" wrapText="1"/>
    </xf>
    <xf numFmtId="180" fontId="33" fillId="15" borderId="18" xfId="0" applyNumberFormat="1" applyFont="1" applyFill="1" applyBorder="1" applyAlignment="1">
      <alignment horizontal="center" wrapText="1"/>
    </xf>
    <xf numFmtId="180" fontId="33" fillId="15" borderId="19" xfId="0" applyNumberFormat="1" applyFont="1" applyFill="1" applyBorder="1" applyAlignment="1">
      <alignment horizontal="center" wrapText="1"/>
    </xf>
    <xf numFmtId="180" fontId="33" fillId="15" borderId="20" xfId="0" applyNumberFormat="1" applyFont="1" applyFill="1" applyBorder="1" applyAlignment="1">
      <alignment horizontal="center" wrapText="1"/>
    </xf>
    <xf numFmtId="178" fontId="33" fillId="15" borderId="21" xfId="0" applyNumberFormat="1" applyFont="1" applyFill="1" applyBorder="1" applyAlignment="1">
      <alignment horizontal="center" vertical="top" wrapText="1"/>
    </xf>
    <xf numFmtId="178" fontId="33" fillId="15" borderId="22" xfId="0" applyNumberFormat="1" applyFont="1" applyFill="1" applyBorder="1" applyAlignment="1">
      <alignment horizontal="center" vertical="top" wrapText="1"/>
    </xf>
    <xf numFmtId="178" fontId="33" fillId="15" borderId="23" xfId="0" applyNumberFormat="1" applyFont="1" applyFill="1" applyBorder="1" applyAlignment="1">
      <alignment horizontal="center" vertical="top" wrapText="1"/>
    </xf>
    <xf numFmtId="38" fontId="13" fillId="15" borderId="24" xfId="33" applyFont="1" applyFill="1" applyBorder="1" applyAlignment="1" applyProtection="1">
      <alignment horizontal="center" vertical="center"/>
    </xf>
    <xf numFmtId="38" fontId="13" fillId="0" borderId="16" xfId="33" applyFont="1" applyFill="1" applyBorder="1" applyProtection="1">
      <alignment vertical="center"/>
    </xf>
    <xf numFmtId="38" fontId="13" fillId="0" borderId="17" xfId="33" applyFont="1" applyFill="1" applyBorder="1" applyProtection="1">
      <alignment vertical="center"/>
    </xf>
    <xf numFmtId="38" fontId="13" fillId="0" borderId="12" xfId="33" applyFont="1" applyFill="1" applyBorder="1" applyProtection="1">
      <alignment vertical="center"/>
    </xf>
    <xf numFmtId="38" fontId="13" fillId="15" borderId="24" xfId="33" applyFont="1" applyFill="1" applyBorder="1" applyProtection="1">
      <alignment vertical="center"/>
    </xf>
    <xf numFmtId="38" fontId="31" fillId="15" borderId="25" xfId="33" applyFont="1" applyFill="1" applyBorder="1" applyAlignment="1" applyProtection="1">
      <alignment horizontal="center" vertical="center" wrapText="1"/>
    </xf>
    <xf numFmtId="38" fontId="13" fillId="0" borderId="26" xfId="33" applyFont="1" applyFill="1" applyBorder="1" applyProtection="1">
      <alignment vertical="center"/>
    </xf>
    <xf numFmtId="38" fontId="13" fillId="0" borderId="27" xfId="33" applyFont="1" applyFill="1" applyBorder="1" applyProtection="1">
      <alignment vertical="center"/>
    </xf>
    <xf numFmtId="38" fontId="13" fillId="0" borderId="14" xfId="33" applyFont="1" applyFill="1" applyBorder="1" applyProtection="1">
      <alignment vertical="center"/>
    </xf>
    <xf numFmtId="38" fontId="13" fillId="15" borderId="25" xfId="33" applyFont="1" applyFill="1" applyBorder="1" applyProtection="1">
      <alignment vertical="center"/>
    </xf>
    <xf numFmtId="38" fontId="13" fillId="15" borderId="10" xfId="33" applyFont="1" applyFill="1" applyBorder="1" applyAlignment="1" applyProtection="1">
      <alignment horizontal="center" vertical="center"/>
    </xf>
    <xf numFmtId="38" fontId="13" fillId="0" borderId="28" xfId="33" applyFont="1" applyFill="1" applyBorder="1" applyProtection="1">
      <alignment vertical="center"/>
    </xf>
    <xf numFmtId="38" fontId="13" fillId="0" borderId="29" xfId="33" applyFont="1" applyFill="1" applyBorder="1" applyProtection="1">
      <alignment vertical="center"/>
    </xf>
    <xf numFmtId="38" fontId="13" fillId="0" borderId="30" xfId="33" applyFont="1" applyFill="1" applyBorder="1" applyProtection="1">
      <alignment vertical="center"/>
    </xf>
    <xf numFmtId="38" fontId="13" fillId="15" borderId="10" xfId="33" applyFont="1" applyFill="1" applyBorder="1" applyProtection="1">
      <alignment vertical="center"/>
    </xf>
    <xf numFmtId="38" fontId="33" fillId="15" borderId="10" xfId="33" applyFont="1" applyFill="1" applyBorder="1" applyAlignment="1" applyProtection="1">
      <alignment horizontal="center" vertical="center"/>
    </xf>
    <xf numFmtId="38" fontId="13" fillId="0" borderId="28" xfId="33" applyFont="1" applyFill="1" applyBorder="1" applyAlignment="1" applyProtection="1">
      <alignment horizontal="right" vertical="center"/>
    </xf>
    <xf numFmtId="38" fontId="13" fillId="15" borderId="28" xfId="33" applyFont="1" applyFill="1" applyBorder="1" applyProtection="1">
      <alignment vertical="center"/>
    </xf>
    <xf numFmtId="38" fontId="13" fillId="15" borderId="29" xfId="33" applyFont="1" applyFill="1" applyBorder="1" applyProtection="1">
      <alignment vertical="center"/>
    </xf>
    <xf numFmtId="38" fontId="13" fillId="15" borderId="30" xfId="33" applyFont="1" applyFill="1" applyBorder="1" applyProtection="1">
      <alignment vertical="center"/>
    </xf>
    <xf numFmtId="38" fontId="13" fillId="0" borderId="0" xfId="33" applyFont="1" applyProtection="1">
      <alignment vertical="center"/>
    </xf>
    <xf numFmtId="38" fontId="32" fillId="0" borderId="0" xfId="33" applyFont="1" applyProtection="1">
      <alignment vertical="center"/>
    </xf>
    <xf numFmtId="38" fontId="0" fillId="0" borderId="0" xfId="33" applyFont="1" applyBorder="1" applyAlignment="1" applyProtection="1">
      <alignment horizontal="right" vertical="center"/>
    </xf>
    <xf numFmtId="38" fontId="0" fillId="0" borderId="17" xfId="33" applyFont="1" applyBorder="1" applyAlignment="1" applyProtection="1">
      <alignment horizontal="right" vertical="center"/>
    </xf>
    <xf numFmtId="38" fontId="0" fillId="0" borderId="0" xfId="33" applyFont="1" applyAlignment="1" applyProtection="1">
      <alignment horizontal="right" vertical="center"/>
    </xf>
    <xf numFmtId="38" fontId="0" fillId="0" borderId="0" xfId="33" applyFont="1" applyBorder="1" applyProtection="1">
      <alignment vertical="center"/>
    </xf>
    <xf numFmtId="38" fontId="27" fillId="0" borderId="31" xfId="33" applyFont="1" applyFill="1" applyBorder="1" applyAlignment="1" applyProtection="1">
      <alignment horizontal="right" vertical="center"/>
    </xf>
    <xf numFmtId="38" fontId="0" fillId="0" borderId="31" xfId="33" applyFont="1" applyBorder="1" applyProtection="1">
      <alignment vertical="center"/>
    </xf>
    <xf numFmtId="38" fontId="0" fillId="0" borderId="31" xfId="33" applyFont="1" applyBorder="1" applyAlignment="1" applyProtection="1">
      <alignment horizontal="right" vertical="center"/>
    </xf>
    <xf numFmtId="176" fontId="0" fillId="0" borderId="0" xfId="33" applyNumberFormat="1" applyFont="1" applyProtection="1">
      <alignment vertical="center"/>
    </xf>
    <xf numFmtId="38" fontId="46" fillId="0" borderId="32" xfId="33" applyFont="1" applyBorder="1" applyAlignment="1" applyProtection="1">
      <alignment horizontal="right" vertical="center"/>
    </xf>
    <xf numFmtId="181" fontId="46" fillId="0" borderId="33" xfId="33" applyNumberFormat="1" applyFont="1" applyBorder="1" applyProtection="1">
      <alignment vertical="center"/>
    </xf>
    <xf numFmtId="38" fontId="0" fillId="12" borderId="34" xfId="33" applyFont="1" applyFill="1" applyBorder="1" applyProtection="1">
      <alignment vertical="center"/>
    </xf>
    <xf numFmtId="38" fontId="27" fillId="16" borderId="0" xfId="33" applyFont="1" applyFill="1" applyProtection="1">
      <alignment vertical="center"/>
    </xf>
    <xf numFmtId="38" fontId="30" fillId="17" borderId="0" xfId="33" applyFont="1" applyFill="1" applyProtection="1">
      <alignment vertical="center"/>
    </xf>
    <xf numFmtId="38" fontId="0" fillId="0" borderId="10" xfId="33" applyFont="1" applyBorder="1" applyProtection="1">
      <alignment vertical="center"/>
    </xf>
    <xf numFmtId="38" fontId="1" fillId="0" borderId="10" xfId="33" applyFont="1" applyBorder="1" applyProtection="1">
      <alignment vertical="center"/>
    </xf>
    <xf numFmtId="38" fontId="0" fillId="0" borderId="0" xfId="33" applyFont="1" applyAlignment="1" applyProtection="1">
      <alignment vertical="center"/>
    </xf>
    <xf numFmtId="38" fontId="0" fillId="0" borderId="10" xfId="33" applyFont="1" applyBorder="1" applyAlignment="1" applyProtection="1">
      <alignment vertical="center"/>
    </xf>
    <xf numFmtId="38" fontId="27" fillId="18" borderId="10" xfId="33" applyFont="1" applyFill="1" applyBorder="1" applyProtection="1">
      <alignment vertical="center"/>
    </xf>
    <xf numFmtId="38" fontId="0" fillId="13" borderId="0" xfId="33" applyFont="1" applyFill="1" applyProtection="1">
      <alignment vertical="center"/>
    </xf>
    <xf numFmtId="38" fontId="0" fillId="12" borderId="0" xfId="33" applyFont="1" applyFill="1" applyAlignment="1" applyProtection="1">
      <alignment horizontal="center" vertical="center"/>
    </xf>
    <xf numFmtId="3" fontId="27" fillId="19" borderId="11" xfId="33" applyNumberFormat="1" applyFont="1" applyFill="1" applyBorder="1" applyProtection="1">
      <alignment vertical="center"/>
    </xf>
    <xf numFmtId="38" fontId="0" fillId="0" borderId="0" xfId="33" applyFont="1" applyBorder="1" applyAlignment="1" applyProtection="1">
      <alignment horizontal="center" vertical="center"/>
    </xf>
    <xf numFmtId="3" fontId="27" fillId="19" borderId="0" xfId="33" applyNumberFormat="1" applyFont="1" applyFill="1" applyProtection="1">
      <alignment vertical="center"/>
    </xf>
    <xf numFmtId="38" fontId="0" fillId="0" borderId="10" xfId="33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right" vertical="center"/>
    </xf>
    <xf numFmtId="38" fontId="0" fillId="14" borderId="0" xfId="33" applyFont="1" applyFill="1" applyBorder="1" applyProtection="1">
      <alignment vertical="center"/>
    </xf>
    <xf numFmtId="38" fontId="1" fillId="0" borderId="0" xfId="33" applyFont="1" applyBorder="1" applyProtection="1">
      <alignment vertical="center"/>
    </xf>
    <xf numFmtId="38" fontId="27" fillId="20" borderId="35" xfId="33" applyFont="1" applyFill="1" applyBorder="1" applyProtection="1">
      <alignment vertical="center"/>
    </xf>
    <xf numFmtId="38" fontId="27" fillId="20" borderId="36" xfId="33" applyFont="1" applyFill="1" applyBorder="1" applyProtection="1">
      <alignment vertical="center"/>
    </xf>
    <xf numFmtId="38" fontId="27" fillId="20" borderId="37" xfId="33" applyFont="1" applyFill="1" applyBorder="1" applyProtection="1">
      <alignment vertical="center"/>
    </xf>
    <xf numFmtId="38" fontId="27" fillId="20" borderId="38" xfId="33" applyFont="1" applyFill="1" applyBorder="1" applyProtection="1">
      <alignment vertical="center"/>
    </xf>
    <xf numFmtId="179" fontId="27" fillId="15" borderId="35" xfId="33" applyNumberFormat="1" applyFont="1" applyFill="1" applyBorder="1" applyProtection="1">
      <alignment vertical="center"/>
    </xf>
    <xf numFmtId="179" fontId="27" fillId="15" borderId="37" xfId="33" applyNumberFormat="1" applyFont="1" applyFill="1" applyBorder="1" applyProtection="1">
      <alignment vertical="center"/>
    </xf>
    <xf numFmtId="179" fontId="27" fillId="15" borderId="39" xfId="33" applyNumberFormat="1" applyFont="1" applyFill="1" applyBorder="1" applyProtection="1">
      <alignment vertical="center"/>
    </xf>
    <xf numFmtId="179" fontId="27" fillId="21" borderId="35" xfId="33" applyNumberFormat="1" applyFont="1" applyFill="1" applyBorder="1" applyProtection="1">
      <alignment vertical="center"/>
    </xf>
    <xf numFmtId="38" fontId="27" fillId="21" borderId="40" xfId="33" applyFont="1" applyFill="1" applyBorder="1" applyProtection="1">
      <alignment vertical="center"/>
    </xf>
    <xf numFmtId="38" fontId="27" fillId="21" borderId="36" xfId="33" applyFont="1" applyFill="1" applyBorder="1" applyProtection="1">
      <alignment vertical="center"/>
    </xf>
    <xf numFmtId="38" fontId="27" fillId="21" borderId="41" xfId="33" applyFont="1" applyFill="1" applyBorder="1" applyProtection="1">
      <alignment vertical="center"/>
    </xf>
    <xf numFmtId="179" fontId="27" fillId="21" borderId="37" xfId="33" applyNumberFormat="1" applyFont="1" applyFill="1" applyBorder="1" applyProtection="1">
      <alignment vertical="center"/>
    </xf>
    <xf numFmtId="38" fontId="27" fillId="21" borderId="0" xfId="33" applyFont="1" applyFill="1" applyBorder="1" applyProtection="1">
      <alignment vertical="center"/>
    </xf>
    <xf numFmtId="38" fontId="27" fillId="21" borderId="38" xfId="33" applyFont="1" applyFill="1" applyBorder="1" applyProtection="1">
      <alignment vertical="center"/>
    </xf>
    <xf numFmtId="38" fontId="27" fillId="21" borderId="42" xfId="33" applyFont="1" applyFill="1" applyBorder="1" applyProtection="1">
      <alignment vertical="center"/>
    </xf>
    <xf numFmtId="179" fontId="27" fillId="21" borderId="39" xfId="33" applyNumberFormat="1" applyFont="1" applyFill="1" applyBorder="1" applyProtection="1">
      <alignment vertical="center"/>
    </xf>
    <xf numFmtId="38" fontId="27" fillId="21" borderId="43" xfId="33" applyFont="1" applyFill="1" applyBorder="1" applyProtection="1">
      <alignment vertical="center"/>
    </xf>
    <xf numFmtId="38" fontId="27" fillId="21" borderId="44" xfId="33" applyFont="1" applyFill="1" applyBorder="1" applyProtection="1">
      <alignment vertical="center"/>
    </xf>
    <xf numFmtId="38" fontId="27" fillId="21" borderId="45" xfId="33" applyFont="1" applyFill="1" applyBorder="1" applyProtection="1">
      <alignment vertical="center"/>
    </xf>
    <xf numFmtId="179" fontId="0" fillId="0" borderId="0" xfId="33" applyNumberFormat="1" applyFont="1" applyProtection="1">
      <alignment vertical="center"/>
    </xf>
    <xf numFmtId="38" fontId="47" fillId="0" borderId="0" xfId="33" applyFont="1" applyProtection="1">
      <alignment vertical="center"/>
    </xf>
    <xf numFmtId="38" fontId="30" fillId="0" borderId="10" xfId="33" applyFont="1" applyBorder="1" applyProtection="1">
      <alignment vertical="center"/>
    </xf>
    <xf numFmtId="38" fontId="27" fillId="19" borderId="10" xfId="33" applyFont="1" applyFill="1" applyBorder="1" applyAlignment="1" applyProtection="1">
      <alignment horizontal="center" vertical="center"/>
    </xf>
    <xf numFmtId="38" fontId="27" fillId="19" borderId="24" xfId="33" applyFont="1" applyFill="1" applyBorder="1" applyAlignment="1" applyProtection="1">
      <alignment horizontal="center" vertical="center"/>
    </xf>
    <xf numFmtId="38" fontId="27" fillId="19" borderId="25" xfId="33" applyFont="1" applyFill="1" applyBorder="1" applyAlignment="1" applyProtection="1">
      <alignment horizontal="center" vertical="center"/>
    </xf>
    <xf numFmtId="0" fontId="48" fillId="0" borderId="0" xfId="0" applyFont="1" applyAlignment="1">
      <alignment horizontal="center" vertical="center" wrapText="1"/>
    </xf>
    <xf numFmtId="38" fontId="13" fillId="15" borderId="10" xfId="33" applyFont="1" applyFill="1" applyBorder="1" applyAlignment="1" applyProtection="1">
      <alignment horizontal="center" vertical="center" wrapText="1"/>
    </xf>
    <xf numFmtId="182" fontId="0" fillId="0" borderId="10" xfId="33" applyNumberFormat="1" applyFont="1" applyBorder="1" applyAlignment="1" applyProtection="1">
      <alignment horizontal="center" vertical="center"/>
    </xf>
    <xf numFmtId="40" fontId="0" fillId="0" borderId="10" xfId="33" applyNumberFormat="1" applyFont="1" applyBorder="1" applyProtection="1">
      <alignment vertical="center"/>
    </xf>
    <xf numFmtId="40" fontId="0" fillId="0" borderId="0" xfId="33" applyNumberFormat="1" applyFont="1" applyProtection="1">
      <alignment vertical="center"/>
    </xf>
    <xf numFmtId="38" fontId="49" fillId="0" borderId="0" xfId="33" applyFont="1" applyAlignment="1" applyProtection="1">
      <alignment horizontal="center" vertical="center"/>
    </xf>
    <xf numFmtId="40" fontId="50" fillId="18" borderId="34" xfId="33" applyNumberFormat="1" applyFont="1" applyFill="1" applyBorder="1" applyProtection="1">
      <alignment vertical="center"/>
    </xf>
    <xf numFmtId="183" fontId="27" fillId="16" borderId="0" xfId="33" applyNumberFormat="1" applyFont="1" applyFill="1" applyBorder="1" applyProtection="1">
      <alignment vertical="center"/>
    </xf>
    <xf numFmtId="183" fontId="27" fillId="15" borderId="40" xfId="33" applyNumberFormat="1" applyFont="1" applyFill="1" applyBorder="1" applyProtection="1">
      <alignment vertical="center"/>
    </xf>
    <xf numFmtId="183" fontId="27" fillId="15" borderId="36" xfId="33" applyNumberFormat="1" applyFont="1" applyFill="1" applyBorder="1" applyProtection="1">
      <alignment vertical="center"/>
    </xf>
    <xf numFmtId="183" fontId="27" fillId="15" borderId="0" xfId="33" applyNumberFormat="1" applyFont="1" applyFill="1" applyBorder="1" applyProtection="1">
      <alignment vertical="center"/>
    </xf>
    <xf numFmtId="183" fontId="27" fillId="15" borderId="38" xfId="33" applyNumberFormat="1" applyFont="1" applyFill="1" applyBorder="1" applyProtection="1">
      <alignment vertical="center"/>
    </xf>
    <xf numFmtId="183" fontId="27" fillId="15" borderId="43" xfId="33" applyNumberFormat="1" applyFont="1" applyFill="1" applyBorder="1" applyProtection="1">
      <alignment vertical="center"/>
    </xf>
    <xf numFmtId="183" fontId="27" fillId="15" borderId="44" xfId="33" applyNumberFormat="1" applyFont="1" applyFill="1" applyBorder="1" applyProtection="1">
      <alignment vertical="center"/>
    </xf>
    <xf numFmtId="38" fontId="21" fillId="0" borderId="10" xfId="33" applyFont="1" applyFill="1" applyBorder="1" applyAlignment="1" applyProtection="1">
      <alignment horizontal="right" vertical="center" wrapText="1"/>
    </xf>
    <xf numFmtId="38" fontId="13" fillId="22" borderId="27" xfId="33" applyFont="1" applyFill="1" applyBorder="1" applyAlignment="1" applyProtection="1">
      <alignment horizontal="right" vertical="center"/>
    </xf>
    <xf numFmtId="38" fontId="0" fillId="0" borderId="46" xfId="33" applyFont="1" applyBorder="1" applyAlignment="1" applyProtection="1">
      <alignment horizontal="right" vertical="center"/>
    </xf>
    <xf numFmtId="38" fontId="27" fillId="0" borderId="47" xfId="33" applyFont="1" applyFill="1" applyBorder="1" applyAlignment="1" applyProtection="1">
      <alignment horizontal="right" vertical="center"/>
    </xf>
    <xf numFmtId="38" fontId="37" fillId="0" borderId="24" xfId="33" applyFont="1" applyFill="1" applyBorder="1" applyAlignment="1" applyProtection="1">
      <alignment horizontal="right" vertical="center"/>
    </xf>
    <xf numFmtId="38" fontId="30" fillId="0" borderId="48" xfId="33" applyFont="1" applyFill="1" applyBorder="1" applyAlignment="1" applyProtection="1">
      <alignment horizontal="right" vertical="center"/>
    </xf>
    <xf numFmtId="38" fontId="33" fillId="22" borderId="25" xfId="33" applyFont="1" applyFill="1" applyBorder="1" applyAlignment="1" applyProtection="1">
      <alignment horizontal="right" vertical="center"/>
    </xf>
    <xf numFmtId="38" fontId="27" fillId="0" borderId="28" xfId="33" applyFont="1" applyFill="1" applyBorder="1" applyAlignment="1" applyProtection="1">
      <alignment horizontal="right" vertical="center"/>
    </xf>
    <xf numFmtId="38" fontId="27" fillId="0" borderId="29" xfId="33" applyFont="1" applyFill="1" applyBorder="1" applyAlignment="1" applyProtection="1">
      <alignment horizontal="right" vertical="center"/>
    </xf>
    <xf numFmtId="38" fontId="0" fillId="0" borderId="29" xfId="33" applyFont="1" applyBorder="1" applyProtection="1">
      <alignment vertical="center"/>
    </xf>
    <xf numFmtId="38" fontId="0" fillId="0" borderId="29" xfId="33" applyFont="1" applyBorder="1" applyAlignment="1" applyProtection="1">
      <alignment horizontal="right" vertical="center"/>
    </xf>
    <xf numFmtId="38" fontId="0" fillId="0" borderId="49" xfId="33" applyFont="1" applyBorder="1" applyAlignment="1" applyProtection="1">
      <alignment horizontal="right" vertical="center"/>
    </xf>
    <xf numFmtId="38" fontId="0" fillId="0" borderId="50" xfId="33" applyFont="1" applyBorder="1" applyAlignment="1" applyProtection="1">
      <alignment horizontal="right" vertical="center"/>
    </xf>
    <xf numFmtId="38" fontId="0" fillId="0" borderId="51" xfId="33" applyFont="1" applyBorder="1" applyAlignment="1" applyProtection="1">
      <alignment horizontal="right" vertical="center"/>
    </xf>
    <xf numFmtId="38" fontId="13" fillId="22" borderId="25" xfId="33" applyFont="1" applyFill="1" applyBorder="1" applyProtection="1">
      <alignment vertical="center"/>
    </xf>
    <xf numFmtId="38" fontId="49" fillId="0" borderId="10" xfId="33" applyFont="1" applyBorder="1" applyProtection="1">
      <alignment vertical="center"/>
    </xf>
    <xf numFmtId="38" fontId="38" fillId="0" borderId="10" xfId="33" applyFont="1" applyBorder="1" applyProtection="1">
      <alignment vertical="center"/>
    </xf>
    <xf numFmtId="0" fontId="51" fillId="0" borderId="0" xfId="0" applyFont="1" applyAlignment="1">
      <alignment horizontal="center" vertical="center" wrapText="1"/>
    </xf>
    <xf numFmtId="38" fontId="40" fillId="22" borderId="27" xfId="33" applyFont="1" applyFill="1" applyBorder="1" applyProtection="1">
      <alignment vertical="center"/>
    </xf>
    <xf numFmtId="38" fontId="41" fillId="22" borderId="27" xfId="33" applyFont="1" applyFill="1" applyBorder="1" applyProtection="1">
      <alignment vertical="center"/>
    </xf>
    <xf numFmtId="38" fontId="41" fillId="22" borderId="52" xfId="33" applyFont="1" applyFill="1" applyBorder="1" applyProtection="1">
      <alignment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13" fillId="17" borderId="53" xfId="33" applyFont="1" applyFill="1" applyBorder="1" applyAlignment="1" applyProtection="1">
      <alignment horizontal="right" vertical="center"/>
    </xf>
    <xf numFmtId="3" fontId="27" fillId="19" borderId="10" xfId="33" applyNumberFormat="1" applyFont="1" applyFill="1" applyBorder="1" applyProtection="1">
      <alignment vertical="center"/>
    </xf>
    <xf numFmtId="38" fontId="27" fillId="18" borderId="0" xfId="33" applyFont="1" applyFill="1" applyAlignment="1" applyProtection="1">
      <alignment horizontal="right" vertical="center"/>
    </xf>
    <xf numFmtId="3" fontId="27" fillId="18" borderId="10" xfId="33" applyNumberFormat="1" applyFont="1" applyFill="1" applyBorder="1" applyProtection="1">
      <alignment vertical="center"/>
    </xf>
    <xf numFmtId="3" fontId="27" fillId="18" borderId="11" xfId="33" applyNumberFormat="1" applyFont="1" applyFill="1" applyBorder="1" applyProtection="1">
      <alignment vertical="center"/>
    </xf>
    <xf numFmtId="38" fontId="27" fillId="0" borderId="10" xfId="33" applyFont="1" applyFill="1" applyBorder="1" applyProtection="1">
      <alignment vertical="center"/>
    </xf>
    <xf numFmtId="38" fontId="27" fillId="23" borderId="10" xfId="33" applyFont="1" applyFill="1" applyBorder="1" applyProtection="1">
      <alignment vertical="center"/>
    </xf>
    <xf numFmtId="38" fontId="1" fillId="23" borderId="10" xfId="33" applyFont="1" applyFill="1" applyBorder="1" applyProtection="1">
      <alignment vertical="center"/>
    </xf>
    <xf numFmtId="38" fontId="38" fillId="23" borderId="10" xfId="33" applyFont="1" applyFill="1" applyBorder="1" applyProtection="1">
      <alignment vertical="center"/>
    </xf>
    <xf numFmtId="38" fontId="0" fillId="0" borderId="10" xfId="33" applyFont="1" applyBorder="1" applyAlignment="1" applyProtection="1">
      <alignment horizontal="center" vertical="center" wrapText="1"/>
    </xf>
    <xf numFmtId="182" fontId="0" fillId="0" borderId="10" xfId="33" applyNumberFormat="1" applyFont="1" applyBorder="1" applyProtection="1">
      <alignment vertical="center"/>
    </xf>
    <xf numFmtId="38" fontId="22" fillId="24" borderId="10" xfId="33" applyFont="1" applyFill="1" applyBorder="1" applyProtection="1">
      <alignment vertical="center"/>
    </xf>
    <xf numFmtId="38" fontId="42" fillId="24" borderId="10" xfId="33" applyFont="1" applyFill="1" applyBorder="1" applyProtection="1">
      <alignment vertical="center"/>
    </xf>
    <xf numFmtId="38" fontId="27" fillId="18" borderId="10" xfId="33" applyFont="1" applyFill="1" applyBorder="1" applyAlignment="1" applyProtection="1">
      <alignment horizontal="right" vertical="center"/>
    </xf>
    <xf numFmtId="3" fontId="27" fillId="0" borderId="0" xfId="33" applyNumberFormat="1" applyFont="1" applyFill="1" applyProtection="1">
      <alignment vertical="center"/>
    </xf>
    <xf numFmtId="38" fontId="27" fillId="25" borderId="0" xfId="33" applyFont="1" applyFill="1" applyProtection="1">
      <alignment vertical="center"/>
    </xf>
    <xf numFmtId="38" fontId="27" fillId="0" borderId="0" xfId="33" applyFont="1" applyFill="1" applyBorder="1" applyProtection="1">
      <alignment vertical="center"/>
    </xf>
    <xf numFmtId="38" fontId="33" fillId="17" borderId="25" xfId="33" applyFont="1" applyFill="1" applyBorder="1" applyAlignment="1" applyProtection="1">
      <alignment horizontal="right" vertical="center"/>
    </xf>
    <xf numFmtId="38" fontId="13" fillId="17" borderId="27" xfId="33" applyFont="1" applyFill="1" applyBorder="1" applyAlignment="1" applyProtection="1">
      <alignment horizontal="right" vertical="center"/>
    </xf>
    <xf numFmtId="38" fontId="47" fillId="17" borderId="27" xfId="33" applyFont="1" applyFill="1" applyBorder="1" applyAlignment="1" applyProtection="1">
      <alignment horizontal="left" vertical="center"/>
    </xf>
    <xf numFmtId="38" fontId="40" fillId="17" borderId="27" xfId="33" applyFont="1" applyFill="1" applyBorder="1" applyProtection="1">
      <alignment vertical="center"/>
    </xf>
    <xf numFmtId="38" fontId="27" fillId="17" borderId="0" xfId="33" applyFont="1" applyFill="1" applyProtection="1">
      <alignment vertical="center"/>
    </xf>
    <xf numFmtId="38" fontId="52" fillId="17" borderId="27" xfId="33" applyFont="1" applyFill="1" applyBorder="1" applyProtection="1">
      <alignment vertical="center"/>
    </xf>
    <xf numFmtId="38" fontId="27" fillId="17" borderId="27" xfId="33" applyFont="1" applyFill="1" applyBorder="1" applyProtection="1">
      <alignment vertical="center"/>
    </xf>
    <xf numFmtId="38" fontId="27" fillId="17" borderId="52" xfId="33" applyFont="1" applyFill="1" applyBorder="1" applyProtection="1">
      <alignment vertical="center"/>
    </xf>
    <xf numFmtId="38" fontId="13" fillId="17" borderId="25" xfId="33" applyFont="1" applyFill="1" applyBorder="1" applyProtection="1">
      <alignment vertical="center"/>
    </xf>
    <xf numFmtId="38" fontId="0" fillId="0" borderId="0" xfId="33" applyFont="1" applyFill="1" applyAlignment="1" applyProtection="1">
      <alignment horizontal="center" vertical="center"/>
    </xf>
    <xf numFmtId="38" fontId="53" fillId="24" borderId="10" xfId="33" applyFont="1" applyFill="1" applyBorder="1" applyProtection="1">
      <alignment vertical="center"/>
    </xf>
    <xf numFmtId="38" fontId="50" fillId="24" borderId="10" xfId="33" applyFont="1" applyFill="1" applyBorder="1" applyProtection="1">
      <alignment vertical="center"/>
    </xf>
    <xf numFmtId="40" fontId="52" fillId="0" borderId="54" xfId="33" applyNumberFormat="1" applyFont="1" applyBorder="1" applyAlignment="1" applyProtection="1">
      <alignment horizontal="right" vertical="center"/>
    </xf>
    <xf numFmtId="40" fontId="52" fillId="0" borderId="55" xfId="33" applyNumberFormat="1" applyFont="1" applyBorder="1" applyAlignment="1" applyProtection="1">
      <alignment horizontal="right" vertical="center"/>
    </xf>
    <xf numFmtId="40" fontId="52" fillId="0" borderId="56" xfId="33" applyNumberFormat="1" applyFont="1" applyBorder="1" applyAlignment="1" applyProtection="1">
      <alignment horizontal="right" vertical="center"/>
    </xf>
    <xf numFmtId="38" fontId="22" fillId="0" borderId="0" xfId="33" applyFont="1" applyAlignment="1" applyProtection="1">
      <alignment horizontal="right" vertical="center" wrapText="1"/>
    </xf>
    <xf numFmtId="38" fontId="22" fillId="0" borderId="0" xfId="33" applyFont="1" applyAlignment="1" applyProtection="1">
      <alignment vertical="center"/>
    </xf>
    <xf numFmtId="38" fontId="22" fillId="0" borderId="59" xfId="33" applyFont="1" applyBorder="1" applyAlignment="1" applyProtection="1">
      <alignment vertical="center"/>
    </xf>
    <xf numFmtId="38" fontId="49" fillId="0" borderId="10" xfId="33" applyFont="1" applyBorder="1" applyAlignment="1" applyProtection="1">
      <alignment horizontal="right" vertical="center"/>
    </xf>
    <xf numFmtId="38" fontId="55" fillId="17" borderId="0" xfId="33" applyFont="1" applyFill="1" applyProtection="1">
      <alignment vertical="center"/>
    </xf>
    <xf numFmtId="38" fontId="47" fillId="0" borderId="29" xfId="33" applyFont="1" applyFill="1" applyBorder="1" applyProtection="1">
      <alignment vertical="center"/>
    </xf>
    <xf numFmtId="185" fontId="0" fillId="0" borderId="10" xfId="33" applyNumberFormat="1" applyFont="1" applyBorder="1" applyProtection="1">
      <alignment vertical="center"/>
    </xf>
    <xf numFmtId="185" fontId="50" fillId="18" borderId="34" xfId="33" applyNumberFormat="1" applyFont="1" applyFill="1" applyBorder="1" applyProtection="1">
      <alignment vertical="center"/>
    </xf>
    <xf numFmtId="38" fontId="49" fillId="0" borderId="0" xfId="33" applyFont="1" applyAlignment="1" applyProtection="1">
      <alignment vertical="center"/>
    </xf>
    <xf numFmtId="186" fontId="25" fillId="18" borderId="34" xfId="33" applyNumberFormat="1" applyFont="1" applyFill="1" applyBorder="1" applyAlignment="1" applyProtection="1">
      <alignment horizontal="right" vertical="center"/>
      <protection locked="0"/>
    </xf>
    <xf numFmtId="38" fontId="41" fillId="0" borderId="28" xfId="33" applyFont="1" applyFill="1" applyBorder="1" applyAlignment="1" applyProtection="1">
      <alignment horizontal="right" vertical="center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  <xf numFmtId="38" fontId="22" fillId="0" borderId="0" xfId="33" applyFont="1" applyAlignment="1" applyProtection="1">
      <alignment horizontal="right" vertical="center" wrapText="1"/>
    </xf>
    <xf numFmtId="38" fontId="22" fillId="0" borderId="57" xfId="33" applyFont="1" applyBorder="1" applyAlignment="1" applyProtection="1">
      <alignment horizontal="right" vertical="center" wrapText="1"/>
    </xf>
    <xf numFmtId="38" fontId="25" fillId="12" borderId="32" xfId="33" applyFont="1" applyFill="1" applyBorder="1" applyAlignment="1" applyProtection="1">
      <alignment horizontal="right" vertical="center"/>
      <protection locked="0"/>
    </xf>
    <xf numFmtId="38" fontId="25" fillId="12" borderId="33" xfId="33" applyFont="1" applyFill="1" applyBorder="1" applyAlignment="1" applyProtection="1">
      <alignment horizontal="right" vertical="center"/>
      <protection locked="0"/>
    </xf>
    <xf numFmtId="38" fontId="22" fillId="0" borderId="43" xfId="33" applyFont="1" applyBorder="1" applyAlignment="1" applyProtection="1">
      <alignment horizontal="center" vertical="center"/>
    </xf>
    <xf numFmtId="38" fontId="26" fillId="0" borderId="43" xfId="33" applyFont="1" applyBorder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left" vertical="center" wrapText="1"/>
    </xf>
    <xf numFmtId="38" fontId="21" fillId="0" borderId="10" xfId="33" applyFont="1" applyBorder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22" fillId="0" borderId="0" xfId="33" applyFont="1" applyAlignment="1" applyProtection="1">
      <alignment horizontal="center" vertical="center"/>
    </xf>
    <xf numFmtId="38" fontId="22" fillId="0" borderId="57" xfId="33" applyFont="1" applyBorder="1" applyAlignment="1" applyProtection="1">
      <alignment horizontal="center" vertical="center"/>
    </xf>
    <xf numFmtId="38" fontId="22" fillId="0" borderId="0" xfId="33" applyFont="1" applyAlignment="1" applyProtection="1">
      <alignment horizontal="right" vertical="center"/>
    </xf>
    <xf numFmtId="38" fontId="22" fillId="0" borderId="57" xfId="33" applyFont="1" applyBorder="1" applyAlignment="1" applyProtection="1">
      <alignment horizontal="right" vertical="center"/>
    </xf>
    <xf numFmtId="3" fontId="25" fillId="0" borderId="32" xfId="33" applyNumberFormat="1" applyFont="1" applyFill="1" applyBorder="1" applyAlignment="1" applyProtection="1">
      <alignment horizontal="right" vertical="center"/>
    </xf>
    <xf numFmtId="3" fontId="25" fillId="0" borderId="33" xfId="33" applyNumberFormat="1" applyFont="1" applyFill="1" applyBorder="1" applyAlignment="1" applyProtection="1">
      <alignment horizontal="right" vertical="center"/>
    </xf>
    <xf numFmtId="38" fontId="30" fillId="0" borderId="41" xfId="33" applyFont="1" applyBorder="1" applyAlignment="1" applyProtection="1">
      <alignment horizontal="center" vertical="center" wrapText="1"/>
    </xf>
    <xf numFmtId="38" fontId="30" fillId="0" borderId="58" xfId="33" applyFont="1" applyBorder="1" applyAlignment="1" applyProtection="1">
      <alignment horizontal="center" vertical="center" wrapText="1"/>
    </xf>
    <xf numFmtId="38" fontId="21" fillId="0" borderId="24" xfId="33" applyFont="1" applyBorder="1" applyAlignment="1" applyProtection="1">
      <alignment horizontal="left" vertical="center" wrapText="1"/>
    </xf>
    <xf numFmtId="38" fontId="57" fillId="20" borderId="32" xfId="33" applyFont="1" applyFill="1" applyBorder="1" applyAlignment="1" applyProtection="1">
      <alignment horizontal="left" vertical="center" wrapText="1"/>
    </xf>
    <xf numFmtId="38" fontId="57" fillId="20" borderId="60" xfId="33" applyFont="1" applyFill="1" applyBorder="1" applyAlignment="1" applyProtection="1">
      <alignment horizontal="left" vertical="center" wrapText="1"/>
    </xf>
    <xf numFmtId="38" fontId="57" fillId="20" borderId="33" xfId="33" applyFont="1" applyFill="1" applyBorder="1" applyAlignment="1" applyProtection="1">
      <alignment horizontal="left" vertical="center" wrapText="1"/>
    </xf>
    <xf numFmtId="38" fontId="21" fillId="0" borderId="25" xfId="33" applyFont="1" applyBorder="1" applyAlignment="1" applyProtection="1">
      <alignment horizontal="left" vertical="center" wrapText="1"/>
    </xf>
    <xf numFmtId="38" fontId="22" fillId="15" borderId="41" xfId="33" applyFont="1" applyFill="1" applyBorder="1" applyAlignment="1" applyProtection="1">
      <alignment horizontal="center" vertical="center"/>
    </xf>
    <xf numFmtId="38" fontId="22" fillId="15" borderId="42" xfId="33" applyFont="1" applyFill="1" applyBorder="1" applyAlignment="1" applyProtection="1">
      <alignment horizontal="center" vertical="center"/>
    </xf>
    <xf numFmtId="38" fontId="22" fillId="15" borderId="45" xfId="33" applyFont="1" applyFill="1" applyBorder="1" applyAlignment="1" applyProtection="1">
      <alignment horizontal="center" vertical="center"/>
    </xf>
    <xf numFmtId="38" fontId="0" fillId="0" borderId="43" xfId="33" applyFont="1" applyBorder="1" applyAlignment="1" applyProtection="1">
      <alignment horizontal="center" vertical="center"/>
    </xf>
    <xf numFmtId="0" fontId="51" fillId="0" borderId="0" xfId="0" applyFont="1" applyAlignment="1">
      <alignment horizontal="center" vertical="center" wrapText="1"/>
    </xf>
    <xf numFmtId="38" fontId="0" fillId="0" borderId="0" xfId="33" applyFont="1" applyBorder="1" applyAlignment="1" applyProtection="1">
      <alignment horizontal="right" vertical="center"/>
    </xf>
    <xf numFmtId="0" fontId="5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84" fontId="34" fillId="12" borderId="32" xfId="0" applyNumberFormat="1" applyFont="1" applyFill="1" applyBorder="1" applyAlignment="1" applyProtection="1">
      <alignment horizontal="right" vertical="center" wrapText="1"/>
      <protection locked="0"/>
    </xf>
    <xf numFmtId="184" fontId="34" fillId="12" borderId="33" xfId="0" applyNumberFormat="1" applyFont="1" applyFill="1" applyBorder="1" applyAlignment="1" applyProtection="1">
      <alignment horizontal="right" vertical="center" wrapText="1"/>
      <protection locked="0"/>
    </xf>
    <xf numFmtId="184" fontId="22" fillId="0" borderId="0" xfId="0" applyNumberFormat="1" applyFont="1" applyAlignment="1">
      <alignment horizontal="left" vertical="center" wrapText="1"/>
    </xf>
    <xf numFmtId="38" fontId="21" fillId="0" borderId="16" xfId="33" applyFont="1" applyBorder="1" applyAlignment="1" applyProtection="1">
      <alignment horizontal="left" vertical="center" wrapText="1"/>
    </xf>
    <xf numFmtId="38" fontId="21" fillId="0" borderId="26" xfId="33" applyFont="1" applyBorder="1" applyAlignment="1" applyProtection="1">
      <alignment horizontal="left" vertical="center" wrapText="1"/>
    </xf>
    <xf numFmtId="38" fontId="26" fillId="0" borderId="57" xfId="33" applyFont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2823</xdr:colOff>
      <xdr:row>12</xdr:row>
      <xdr:rowOff>17992</xdr:rowOff>
    </xdr:from>
    <xdr:to>
      <xdr:col>5</xdr:col>
      <xdr:colOff>285703</xdr:colOff>
      <xdr:row>15</xdr:row>
      <xdr:rowOff>42438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869267" y="3581400"/>
          <a:ext cx="287866" cy="6434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2823</xdr:colOff>
      <xdr:row>12</xdr:row>
      <xdr:rowOff>2117</xdr:rowOff>
    </xdr:from>
    <xdr:to>
      <xdr:col>5</xdr:col>
      <xdr:colOff>283191</xdr:colOff>
      <xdr:row>15</xdr:row>
      <xdr:rowOff>42415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4108874" y="3330787"/>
          <a:ext cx="277706" cy="6815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16"/>
  <sheetViews>
    <sheetView showZeros="0" tabSelected="1" view="pageBreakPreview" zoomScale="80" zoomScaleNormal="100" zoomScaleSheetLayoutView="80" workbookViewId="0">
      <selection activeCell="D9" sqref="D9:E9"/>
    </sheetView>
  </sheetViews>
  <sheetFormatPr defaultColWidth="8.875" defaultRowHeight="13.5"/>
  <cols>
    <col min="1" max="1" width="7.25" style="5" customWidth="1"/>
    <col min="2" max="2" width="24.875" style="5" customWidth="1"/>
    <col min="3" max="3" width="10.5" style="5" customWidth="1"/>
    <col min="4" max="5" width="11.125" style="5" customWidth="1"/>
    <col min="6" max="21" width="10.5" style="5" customWidth="1"/>
    <col min="22" max="22" width="11.875" style="5" customWidth="1"/>
    <col min="23" max="16384" width="8.875" style="5"/>
  </cols>
  <sheetData>
    <row r="1" spans="1:22" s="1" customFormat="1" ht="31.35" customHeight="1">
      <c r="A1" s="219" t="s">
        <v>87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22" s="2" customFormat="1" ht="28.35" customHeight="1">
      <c r="K2" s="217" t="s">
        <v>51</v>
      </c>
      <c r="L2" s="217"/>
      <c r="M2" s="217"/>
      <c r="N2" s="217"/>
      <c r="O2" s="217"/>
      <c r="P2" s="217"/>
      <c r="Q2" s="217"/>
    </row>
    <row r="3" spans="1:22" s="2" customFormat="1" ht="9.6" customHeight="1">
      <c r="L3" s="3"/>
      <c r="M3" s="3"/>
      <c r="N3" s="3"/>
    </row>
    <row r="4" spans="1:22" s="2" customFormat="1" ht="21.6" customHeight="1">
      <c r="A4" s="220" t="s">
        <v>50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4"/>
      <c r="P4" s="4"/>
      <c r="Q4" s="4"/>
      <c r="R4" s="4"/>
      <c r="S4" s="4"/>
      <c r="T4" s="4"/>
      <c r="U4" s="4"/>
      <c r="V4" s="4"/>
    </row>
    <row r="5" spans="1:22" s="2" customFormat="1" ht="21.6" customHeight="1">
      <c r="A5" s="220" t="s">
        <v>78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4"/>
      <c r="P5" s="4"/>
      <c r="Q5" s="4"/>
      <c r="R5" s="4"/>
      <c r="S5" s="4"/>
      <c r="T5" s="4"/>
      <c r="U5" s="4"/>
      <c r="V5" s="4"/>
    </row>
    <row r="6" spans="1:22" s="2" customFormat="1" ht="11.1" customHeight="1"/>
    <row r="7" spans="1:22" ht="14.25" thickBot="1"/>
    <row r="8" spans="1:22" s="6" customFormat="1" ht="31.15" customHeight="1" thickBot="1">
      <c r="A8" s="191" t="s">
        <v>75</v>
      </c>
      <c r="B8" s="191"/>
      <c r="C8" s="192"/>
      <c r="D8" s="193">
        <v>1000000</v>
      </c>
      <c r="E8" s="194"/>
      <c r="F8" s="8" t="s">
        <v>2</v>
      </c>
      <c r="G8" s="9"/>
      <c r="H8" s="9"/>
      <c r="I8" s="9"/>
      <c r="J8" s="9"/>
      <c r="K8" s="9"/>
      <c r="L8" s="9"/>
    </row>
    <row r="9" spans="1:22" s="6" customFormat="1" ht="31.15" customHeight="1" thickBot="1">
      <c r="A9" s="178"/>
      <c r="B9" s="202" t="s">
        <v>77</v>
      </c>
      <c r="C9" s="203"/>
      <c r="D9" s="204"/>
      <c r="E9" s="205"/>
      <c r="F9" s="187">
        <v>0.1</v>
      </c>
      <c r="G9" s="180"/>
      <c r="H9" s="179"/>
      <c r="I9" s="179"/>
      <c r="J9" s="179"/>
      <c r="K9" s="9"/>
      <c r="L9" s="9"/>
    </row>
    <row r="10" spans="1:22" s="6" customFormat="1" ht="27.6" customHeight="1" thickBot="1">
      <c r="B10" s="202" t="s">
        <v>40</v>
      </c>
      <c r="C10" s="203"/>
      <c r="D10" s="193">
        <v>6</v>
      </c>
      <c r="E10" s="194"/>
      <c r="F10" s="8" t="s">
        <v>1</v>
      </c>
      <c r="G10" s="9"/>
      <c r="H10" s="9"/>
      <c r="I10" s="9"/>
      <c r="J10" s="9"/>
      <c r="K10" s="9"/>
      <c r="L10" s="9"/>
    </row>
    <row r="11" spans="1:22" s="6" customFormat="1" ht="27.6" customHeight="1" thickBot="1">
      <c r="B11" s="202" t="s">
        <v>41</v>
      </c>
      <c r="C11" s="203"/>
      <c r="D11" s="221">
        <v>44682</v>
      </c>
      <c r="E11" s="222"/>
      <c r="F11" s="110" t="s">
        <v>29</v>
      </c>
      <c r="G11" s="223">
        <f>IF(D11="","",EDATE(D11,D10*12)-1)</f>
        <v>46873</v>
      </c>
      <c r="H11" s="223"/>
      <c r="I11" s="209" t="s">
        <v>83</v>
      </c>
      <c r="J11" s="210"/>
      <c r="K11" s="210"/>
      <c r="L11" s="210"/>
      <c r="M11" s="210"/>
      <c r="N11" s="210"/>
      <c r="O11" s="211"/>
    </row>
    <row r="12" spans="1:22" s="6" customFormat="1" ht="27.6" customHeight="1" thickBot="1">
      <c r="A12" s="200" t="s">
        <v>72</v>
      </c>
      <c r="B12" s="200"/>
      <c r="C12" s="201"/>
      <c r="D12" s="193">
        <v>4</v>
      </c>
      <c r="E12" s="194"/>
      <c r="F12" s="9"/>
      <c r="G12" s="9"/>
      <c r="H12" s="9"/>
      <c r="I12" s="9"/>
      <c r="J12" s="9"/>
      <c r="K12" s="9"/>
      <c r="L12" s="9"/>
    </row>
    <row r="13" spans="1:22" s="6" customFormat="1" ht="13.35" customHeight="1">
      <c r="B13" s="7"/>
      <c r="C13" s="10"/>
      <c r="D13" s="11"/>
      <c r="E13" s="11"/>
      <c r="F13" s="9"/>
      <c r="G13" s="9"/>
      <c r="H13" s="9"/>
      <c r="I13" s="9"/>
      <c r="J13" s="9"/>
      <c r="K13" s="9"/>
      <c r="L13" s="9"/>
    </row>
    <row r="14" spans="1:22" s="6" customFormat="1" ht="18" customHeight="1">
      <c r="B14" s="7"/>
      <c r="C14" s="10"/>
      <c r="D14" s="11"/>
      <c r="E14" s="11"/>
      <c r="F14" s="195" t="s">
        <v>44</v>
      </c>
      <c r="G14" s="196"/>
      <c r="H14" s="196"/>
      <c r="I14" s="196"/>
      <c r="J14" s="196"/>
      <c r="K14" s="196"/>
      <c r="L14" s="196"/>
      <c r="M14" s="196"/>
      <c r="N14" s="196"/>
      <c r="O14" s="196"/>
    </row>
    <row r="15" spans="1:22" ht="19.899999999999999" customHeight="1">
      <c r="C15" s="12"/>
      <c r="F15" s="198" t="s">
        <v>3</v>
      </c>
      <c r="G15" s="198"/>
      <c r="H15" s="198"/>
      <c r="I15" s="198"/>
      <c r="J15" s="198"/>
      <c r="K15" s="198"/>
      <c r="L15" s="198"/>
      <c r="M15" s="198"/>
      <c r="N15" s="199" t="s">
        <v>85</v>
      </c>
      <c r="O15" s="199"/>
    </row>
    <row r="16" spans="1:22" ht="19.899999999999999" customHeight="1">
      <c r="F16" s="13" t="s">
        <v>7</v>
      </c>
      <c r="G16" s="198" t="s">
        <v>8</v>
      </c>
      <c r="H16" s="198"/>
      <c r="I16" s="198" t="s">
        <v>9</v>
      </c>
      <c r="J16" s="198"/>
      <c r="K16" s="198"/>
      <c r="L16" s="198"/>
      <c r="M16" s="198"/>
      <c r="N16" s="199"/>
      <c r="O16" s="199"/>
    </row>
    <row r="17" spans="2:22" ht="51" customHeight="1">
      <c r="F17" s="107">
        <v>1</v>
      </c>
      <c r="G17" s="199" t="s">
        <v>4</v>
      </c>
      <c r="H17" s="199"/>
      <c r="I17" s="197" t="s">
        <v>10</v>
      </c>
      <c r="J17" s="197"/>
      <c r="K17" s="197"/>
      <c r="L17" s="197"/>
      <c r="M17" s="197"/>
      <c r="N17" s="175">
        <v>3.88</v>
      </c>
      <c r="O17" s="14" t="s">
        <v>2</v>
      </c>
    </row>
    <row r="18" spans="2:22" ht="19.899999999999999" customHeight="1">
      <c r="F18" s="107">
        <v>2</v>
      </c>
      <c r="G18" s="199" t="s">
        <v>5</v>
      </c>
      <c r="H18" s="199"/>
      <c r="I18" s="197" t="s">
        <v>11</v>
      </c>
      <c r="J18" s="197"/>
      <c r="K18" s="197"/>
      <c r="L18" s="197"/>
      <c r="M18" s="197"/>
      <c r="N18" s="175">
        <v>1.54</v>
      </c>
      <c r="O18" s="14" t="s">
        <v>2</v>
      </c>
    </row>
    <row r="19" spans="2:22" ht="26.65" customHeight="1">
      <c r="F19" s="107">
        <v>3</v>
      </c>
      <c r="G19" s="199" t="s">
        <v>6</v>
      </c>
      <c r="H19" s="199"/>
      <c r="I19" s="197" t="s">
        <v>12</v>
      </c>
      <c r="J19" s="197"/>
      <c r="K19" s="197"/>
      <c r="L19" s="197"/>
      <c r="M19" s="197"/>
      <c r="N19" s="175">
        <v>1.63</v>
      </c>
      <c r="O19" s="14" t="s">
        <v>2</v>
      </c>
    </row>
    <row r="20" spans="2:22" ht="37.35" customHeight="1">
      <c r="F20" s="108">
        <v>4</v>
      </c>
      <c r="G20" s="224" t="s">
        <v>13</v>
      </c>
      <c r="H20" s="15" t="s">
        <v>14</v>
      </c>
      <c r="I20" s="208" t="s">
        <v>16</v>
      </c>
      <c r="J20" s="208"/>
      <c r="K20" s="208"/>
      <c r="L20" s="208"/>
      <c r="M20" s="208"/>
      <c r="N20" s="176">
        <v>2.86</v>
      </c>
      <c r="O20" s="16" t="s">
        <v>2</v>
      </c>
    </row>
    <row r="21" spans="2:22" ht="37.35" customHeight="1">
      <c r="F21" s="109">
        <v>5</v>
      </c>
      <c r="G21" s="225"/>
      <c r="H21" s="17" t="s">
        <v>15</v>
      </c>
      <c r="I21" s="212" t="s">
        <v>17</v>
      </c>
      <c r="J21" s="212"/>
      <c r="K21" s="212"/>
      <c r="L21" s="212"/>
      <c r="M21" s="212"/>
      <c r="N21" s="177">
        <v>3.16</v>
      </c>
      <c r="O21" s="18" t="s">
        <v>2</v>
      </c>
    </row>
    <row r="22" spans="2:22" ht="26.65" customHeight="1">
      <c r="F22" s="108">
        <v>6</v>
      </c>
      <c r="G22" s="208" t="s">
        <v>52</v>
      </c>
      <c r="H22" s="208"/>
      <c r="I22" s="208" t="s">
        <v>18</v>
      </c>
      <c r="J22" s="208"/>
      <c r="K22" s="208"/>
      <c r="L22" s="208"/>
      <c r="M22" s="208"/>
      <c r="N22" s="176">
        <v>1.54</v>
      </c>
      <c r="O22" s="16" t="s">
        <v>2</v>
      </c>
    </row>
    <row r="23" spans="2:22" ht="17.649999999999999" customHeight="1">
      <c r="F23" s="109">
        <v>7</v>
      </c>
      <c r="G23" s="212"/>
      <c r="H23" s="212"/>
      <c r="I23" s="212" t="s">
        <v>19</v>
      </c>
      <c r="J23" s="212"/>
      <c r="K23" s="212"/>
      <c r="L23" s="212"/>
      <c r="M23" s="212"/>
      <c r="N23" s="177">
        <v>2.02</v>
      </c>
      <c r="O23" s="18" t="s">
        <v>2</v>
      </c>
    </row>
    <row r="24" spans="2:22" ht="13.35" customHeight="1">
      <c r="F24" s="19"/>
      <c r="G24" s="20"/>
      <c r="H24" s="20"/>
      <c r="I24" s="20"/>
      <c r="J24" s="20"/>
      <c r="K24" s="20"/>
      <c r="L24" s="20"/>
      <c r="M24" s="20"/>
      <c r="N24" s="21"/>
      <c r="O24" s="22"/>
    </row>
    <row r="25" spans="2:22" s="23" customFormat="1" ht="20.65" customHeight="1">
      <c r="E25" s="24"/>
      <c r="F25" s="24"/>
      <c r="G25" s="24"/>
      <c r="H25" s="25" t="str">
        <f t="shared" ref="H25:U25" si="0">IF(H46=$E$97,$E$100," ")</f>
        <v xml:space="preserve"> </v>
      </c>
      <c r="I25" s="25" t="str">
        <f t="shared" si="0"/>
        <v xml:space="preserve"> </v>
      </c>
      <c r="J25" s="25" t="str">
        <f t="shared" si="0"/>
        <v xml:space="preserve"> </v>
      </c>
      <c r="K25" s="25" t="str">
        <f t="shared" si="0"/>
        <v xml:space="preserve"> </v>
      </c>
      <c r="L25" s="25" t="str">
        <f t="shared" si="0"/>
        <v xml:space="preserve"> </v>
      </c>
      <c r="M25" s="25" t="str">
        <f t="shared" si="0"/>
        <v xml:space="preserve"> </v>
      </c>
      <c r="N25" s="26" t="str">
        <f t="shared" si="0"/>
        <v xml:space="preserve"> </v>
      </c>
      <c r="O25" s="25" t="str">
        <f t="shared" si="0"/>
        <v>支払終了</v>
      </c>
      <c r="P25" s="25" t="str">
        <f t="shared" si="0"/>
        <v xml:space="preserve"> </v>
      </c>
      <c r="Q25" s="25" t="str">
        <f t="shared" si="0"/>
        <v xml:space="preserve"> </v>
      </c>
      <c r="R25" s="25" t="str">
        <f t="shared" si="0"/>
        <v xml:space="preserve"> </v>
      </c>
      <c r="S25" s="25" t="str">
        <f t="shared" si="0"/>
        <v xml:space="preserve"> </v>
      </c>
      <c r="T25" s="25" t="str">
        <f t="shared" si="0"/>
        <v xml:space="preserve"> </v>
      </c>
      <c r="U25" s="25" t="str">
        <f t="shared" si="0"/>
        <v xml:space="preserve"> </v>
      </c>
    </row>
    <row r="26" spans="2:22" s="6" customFormat="1" ht="19.350000000000001" customHeight="1">
      <c r="B26" s="213" t="s">
        <v>31</v>
      </c>
      <c r="C26" s="27">
        <v>1</v>
      </c>
      <c r="D26" s="28">
        <v>2</v>
      </c>
      <c r="E26" s="28">
        <v>3</v>
      </c>
      <c r="F26" s="28">
        <v>4</v>
      </c>
      <c r="G26" s="28">
        <v>5</v>
      </c>
      <c r="H26" s="28">
        <v>6</v>
      </c>
      <c r="I26" s="28">
        <v>7</v>
      </c>
      <c r="J26" s="28">
        <v>8</v>
      </c>
      <c r="K26" s="28">
        <v>9</v>
      </c>
      <c r="L26" s="28">
        <v>10</v>
      </c>
      <c r="M26" s="28">
        <v>11</v>
      </c>
      <c r="N26" s="28">
        <v>12</v>
      </c>
      <c r="O26" s="28">
        <v>13</v>
      </c>
      <c r="P26" s="28">
        <v>14</v>
      </c>
      <c r="Q26" s="28">
        <v>15</v>
      </c>
      <c r="R26" s="28">
        <v>16</v>
      </c>
      <c r="S26" s="28">
        <v>17</v>
      </c>
      <c r="T26" s="28">
        <v>18</v>
      </c>
      <c r="U26" s="29">
        <v>19</v>
      </c>
      <c r="V26" s="213" t="s">
        <v>32</v>
      </c>
    </row>
    <row r="27" spans="2:22" s="6" customFormat="1" ht="14.65" customHeight="1">
      <c r="B27" s="214"/>
      <c r="C27" s="30">
        <f>DATE(B98,C98,1)</f>
        <v>44805</v>
      </c>
      <c r="D27" s="31">
        <f>EDATE(C27,6)</f>
        <v>44986</v>
      </c>
      <c r="E27" s="31">
        <f>EDATE(D27,6)</f>
        <v>45170</v>
      </c>
      <c r="F27" s="31">
        <f>EDATE(E27,6)</f>
        <v>45352</v>
      </c>
      <c r="G27" s="31">
        <f>EDATE(F27,6)</f>
        <v>45536</v>
      </c>
      <c r="H27" s="31">
        <f t="shared" ref="H27:U27" si="1">EDATE(G27,6)</f>
        <v>45717</v>
      </c>
      <c r="I27" s="31">
        <f t="shared" si="1"/>
        <v>45901</v>
      </c>
      <c r="J27" s="31">
        <f t="shared" si="1"/>
        <v>46082</v>
      </c>
      <c r="K27" s="31">
        <f t="shared" si="1"/>
        <v>46266</v>
      </c>
      <c r="L27" s="31">
        <f t="shared" si="1"/>
        <v>46447</v>
      </c>
      <c r="M27" s="31">
        <f t="shared" si="1"/>
        <v>46631</v>
      </c>
      <c r="N27" s="31">
        <f t="shared" si="1"/>
        <v>46813</v>
      </c>
      <c r="O27" s="31">
        <f t="shared" si="1"/>
        <v>46997</v>
      </c>
      <c r="P27" s="31">
        <f t="shared" si="1"/>
        <v>47178</v>
      </c>
      <c r="Q27" s="31">
        <f t="shared" si="1"/>
        <v>47362</v>
      </c>
      <c r="R27" s="31">
        <f t="shared" si="1"/>
        <v>47543</v>
      </c>
      <c r="S27" s="31">
        <f t="shared" si="1"/>
        <v>47727</v>
      </c>
      <c r="T27" s="31">
        <f t="shared" si="1"/>
        <v>47908</v>
      </c>
      <c r="U27" s="32">
        <f t="shared" si="1"/>
        <v>48092</v>
      </c>
      <c r="V27" s="214"/>
    </row>
    <row r="28" spans="2:22" s="6" customFormat="1" ht="14.65" customHeight="1">
      <c r="B28" s="215"/>
      <c r="C28" s="33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34" t="s">
        <v>30</v>
      </c>
      <c r="I28" s="34" t="s">
        <v>30</v>
      </c>
      <c r="J28" s="34" t="s">
        <v>30</v>
      </c>
      <c r="K28" s="34" t="s">
        <v>30</v>
      </c>
      <c r="L28" s="34" t="s">
        <v>30</v>
      </c>
      <c r="M28" s="34" t="s">
        <v>30</v>
      </c>
      <c r="N28" s="34" t="s">
        <v>30</v>
      </c>
      <c r="O28" s="34" t="s">
        <v>30</v>
      </c>
      <c r="P28" s="34" t="s">
        <v>30</v>
      </c>
      <c r="Q28" s="34" t="s">
        <v>30</v>
      </c>
      <c r="R28" s="34" t="s">
        <v>30</v>
      </c>
      <c r="S28" s="34" t="s">
        <v>30</v>
      </c>
      <c r="T28" s="34" t="s">
        <v>30</v>
      </c>
      <c r="U28" s="35" t="s">
        <v>30</v>
      </c>
      <c r="V28" s="215"/>
    </row>
    <row r="29" spans="2:22" ht="22.35" customHeight="1">
      <c r="B29" s="36" t="s">
        <v>33</v>
      </c>
      <c r="C29" s="37">
        <f>C50</f>
        <v>62500</v>
      </c>
      <c r="D29" s="38">
        <f>D50</f>
        <v>75000</v>
      </c>
      <c r="E29" s="38">
        <f>E50</f>
        <v>75000</v>
      </c>
      <c r="F29" s="38">
        <f>F50+F54</f>
        <v>75000</v>
      </c>
      <c r="G29" s="38">
        <f>G50+G54</f>
        <v>75000</v>
      </c>
      <c r="H29" s="38">
        <f>H50+H54</f>
        <v>75000</v>
      </c>
      <c r="I29" s="38">
        <f t="shared" ref="I29:U29" si="2">I50+I54</f>
        <v>75000</v>
      </c>
      <c r="J29" s="38">
        <f t="shared" si="2"/>
        <v>75000</v>
      </c>
      <c r="K29" s="38">
        <f t="shared" si="2"/>
        <v>75000</v>
      </c>
      <c r="L29" s="38">
        <f t="shared" si="2"/>
        <v>75000</v>
      </c>
      <c r="M29" s="38">
        <f t="shared" si="2"/>
        <v>75000</v>
      </c>
      <c r="N29" s="38">
        <f t="shared" si="2"/>
        <v>75000</v>
      </c>
      <c r="O29" s="38">
        <f t="shared" si="2"/>
        <v>12500</v>
      </c>
      <c r="P29" s="38">
        <f t="shared" si="2"/>
        <v>0</v>
      </c>
      <c r="Q29" s="38">
        <f t="shared" si="2"/>
        <v>0</v>
      </c>
      <c r="R29" s="38">
        <f t="shared" si="2"/>
        <v>0</v>
      </c>
      <c r="S29" s="38">
        <f t="shared" si="2"/>
        <v>0</v>
      </c>
      <c r="T29" s="38">
        <f t="shared" si="2"/>
        <v>0</v>
      </c>
      <c r="U29" s="39">
        <f t="shared" si="2"/>
        <v>0</v>
      </c>
      <c r="V29" s="40">
        <f t="shared" ref="V29:V34" si="3">SUM(C29:U29)</f>
        <v>900000</v>
      </c>
    </row>
    <row r="30" spans="2:22" ht="22.35" customHeight="1">
      <c r="B30" s="41" t="s">
        <v>42</v>
      </c>
      <c r="C30" s="43">
        <f t="shared" ref="C30:H30" si="4">C51+C55</f>
        <v>6250</v>
      </c>
      <c r="D30" s="43">
        <f t="shared" si="4"/>
        <v>7500</v>
      </c>
      <c r="E30" s="43">
        <f t="shared" si="4"/>
        <v>7500</v>
      </c>
      <c r="F30" s="43">
        <f t="shared" si="4"/>
        <v>7500</v>
      </c>
      <c r="G30" s="43">
        <f t="shared" si="4"/>
        <v>7500</v>
      </c>
      <c r="H30" s="43">
        <f t="shared" si="4"/>
        <v>7500</v>
      </c>
      <c r="I30" s="43">
        <f t="shared" ref="I30:U30" si="5">I51+I55</f>
        <v>7500</v>
      </c>
      <c r="J30" s="43">
        <f t="shared" si="5"/>
        <v>7500</v>
      </c>
      <c r="K30" s="43">
        <f t="shared" si="5"/>
        <v>7500</v>
      </c>
      <c r="L30" s="43">
        <f t="shared" si="5"/>
        <v>7500</v>
      </c>
      <c r="M30" s="43">
        <f t="shared" si="5"/>
        <v>7500</v>
      </c>
      <c r="N30" s="43">
        <f t="shared" si="5"/>
        <v>7500</v>
      </c>
      <c r="O30" s="43">
        <f t="shared" si="5"/>
        <v>1250</v>
      </c>
      <c r="P30" s="43">
        <f t="shared" si="5"/>
        <v>0</v>
      </c>
      <c r="Q30" s="43">
        <f t="shared" si="5"/>
        <v>0</v>
      </c>
      <c r="R30" s="43">
        <f t="shared" si="5"/>
        <v>0</v>
      </c>
      <c r="S30" s="43">
        <f t="shared" si="5"/>
        <v>0</v>
      </c>
      <c r="T30" s="43">
        <f t="shared" si="5"/>
        <v>0</v>
      </c>
      <c r="U30" s="44">
        <f t="shared" si="5"/>
        <v>0</v>
      </c>
      <c r="V30" s="45">
        <f t="shared" si="3"/>
        <v>90000</v>
      </c>
    </row>
    <row r="31" spans="2:22" ht="22.35" customHeight="1">
      <c r="B31" s="36" t="s">
        <v>26</v>
      </c>
      <c r="C31" s="37"/>
      <c r="D31" s="38">
        <f t="shared" ref="D31:N31" si="6">D61</f>
        <v>0</v>
      </c>
      <c r="E31" s="38">
        <f t="shared" si="6"/>
        <v>0</v>
      </c>
      <c r="F31" s="38">
        <f t="shared" si="6"/>
        <v>0</v>
      </c>
      <c r="G31" s="38">
        <f t="shared" si="6"/>
        <v>0</v>
      </c>
      <c r="H31" s="38">
        <f t="shared" si="6"/>
        <v>0</v>
      </c>
      <c r="I31" s="38">
        <f t="shared" si="6"/>
        <v>0</v>
      </c>
      <c r="J31" s="38">
        <f t="shared" si="6"/>
        <v>0</v>
      </c>
      <c r="K31" s="38">
        <f t="shared" si="6"/>
        <v>0</v>
      </c>
      <c r="L31" s="38">
        <f t="shared" si="6"/>
        <v>0</v>
      </c>
      <c r="M31" s="38">
        <f t="shared" si="6"/>
        <v>0</v>
      </c>
      <c r="N31" s="38">
        <f t="shared" si="6"/>
        <v>0</v>
      </c>
      <c r="O31" s="38">
        <f>O61</f>
        <v>100000</v>
      </c>
      <c r="P31" s="38">
        <f t="shared" ref="P31:U31" si="7">P61</f>
        <v>0</v>
      </c>
      <c r="Q31" s="38">
        <f t="shared" si="7"/>
        <v>0</v>
      </c>
      <c r="R31" s="38">
        <f t="shared" si="7"/>
        <v>0</v>
      </c>
      <c r="S31" s="38">
        <f t="shared" si="7"/>
        <v>0</v>
      </c>
      <c r="T31" s="38">
        <f t="shared" si="7"/>
        <v>0</v>
      </c>
      <c r="U31" s="39">
        <f t="shared" si="7"/>
        <v>0</v>
      </c>
      <c r="V31" s="40">
        <f t="shared" si="3"/>
        <v>100000</v>
      </c>
    </row>
    <row r="32" spans="2:22" ht="22.35" customHeight="1">
      <c r="B32" s="41" t="s">
        <v>43</v>
      </c>
      <c r="C32" s="42"/>
      <c r="D32" s="43"/>
      <c r="E32" s="43"/>
      <c r="F32" s="43">
        <f t="shared" ref="F32:U32" si="8">F31*$E$105</f>
        <v>0</v>
      </c>
      <c r="G32" s="43">
        <f t="shared" si="8"/>
        <v>0</v>
      </c>
      <c r="H32" s="43">
        <f t="shared" si="8"/>
        <v>0</v>
      </c>
      <c r="I32" s="43">
        <f t="shared" si="8"/>
        <v>0</v>
      </c>
      <c r="J32" s="43">
        <f t="shared" si="8"/>
        <v>0</v>
      </c>
      <c r="K32" s="43">
        <f t="shared" si="8"/>
        <v>0</v>
      </c>
      <c r="L32" s="43">
        <f t="shared" si="8"/>
        <v>0</v>
      </c>
      <c r="M32" s="43">
        <f t="shared" si="8"/>
        <v>0</v>
      </c>
      <c r="N32" s="43">
        <f t="shared" si="8"/>
        <v>0</v>
      </c>
      <c r="O32" s="43">
        <f t="shared" si="8"/>
        <v>10000</v>
      </c>
      <c r="P32" s="43">
        <f t="shared" si="8"/>
        <v>0</v>
      </c>
      <c r="Q32" s="43">
        <f t="shared" si="8"/>
        <v>0</v>
      </c>
      <c r="R32" s="43">
        <f t="shared" si="8"/>
        <v>0</v>
      </c>
      <c r="S32" s="43">
        <f t="shared" si="8"/>
        <v>0</v>
      </c>
      <c r="T32" s="43">
        <f t="shared" si="8"/>
        <v>0</v>
      </c>
      <c r="U32" s="44">
        <f t="shared" si="8"/>
        <v>0</v>
      </c>
      <c r="V32" s="45">
        <f t="shared" si="3"/>
        <v>10000</v>
      </c>
    </row>
    <row r="33" spans="1:34" ht="36" customHeight="1">
      <c r="B33" s="111" t="s">
        <v>53</v>
      </c>
      <c r="C33" s="47">
        <f t="shared" ref="C33:U33" si="9">IF($D$12=6,0,IF($D$12=7,0,(C52+C56)))</f>
        <v>2916</v>
      </c>
      <c r="D33" s="48">
        <f t="shared" si="9"/>
        <v>3281</v>
      </c>
      <c r="E33" s="48">
        <f t="shared" si="9"/>
        <v>3018</v>
      </c>
      <c r="F33" s="48">
        <f t="shared" si="9"/>
        <v>2756</v>
      </c>
      <c r="G33" s="48">
        <f t="shared" si="9"/>
        <v>2493</v>
      </c>
      <c r="H33" s="48">
        <f t="shared" si="9"/>
        <v>2231</v>
      </c>
      <c r="I33" s="48">
        <f t="shared" si="9"/>
        <v>1968</v>
      </c>
      <c r="J33" s="48">
        <f t="shared" si="9"/>
        <v>1706</v>
      </c>
      <c r="K33" s="48">
        <f t="shared" si="9"/>
        <v>1443</v>
      </c>
      <c r="L33" s="48">
        <f t="shared" si="9"/>
        <v>1181</v>
      </c>
      <c r="M33" s="48">
        <f t="shared" si="9"/>
        <v>918</v>
      </c>
      <c r="N33" s="48">
        <f t="shared" si="9"/>
        <v>656</v>
      </c>
      <c r="O33" s="48">
        <f t="shared" si="9"/>
        <v>65</v>
      </c>
      <c r="P33" s="48">
        <f t="shared" si="9"/>
        <v>0</v>
      </c>
      <c r="Q33" s="48">
        <f t="shared" si="9"/>
        <v>0</v>
      </c>
      <c r="R33" s="48">
        <f t="shared" si="9"/>
        <v>0</v>
      </c>
      <c r="S33" s="48">
        <f t="shared" si="9"/>
        <v>0</v>
      </c>
      <c r="T33" s="48">
        <f t="shared" si="9"/>
        <v>0</v>
      </c>
      <c r="U33" s="49">
        <f t="shared" si="9"/>
        <v>0</v>
      </c>
      <c r="V33" s="50">
        <f t="shared" si="3"/>
        <v>24632</v>
      </c>
    </row>
    <row r="34" spans="1:34" ht="22.35" customHeight="1">
      <c r="B34" s="51" t="s">
        <v>45</v>
      </c>
      <c r="C34" s="188">
        <f>IF(ISBLANK(D12),"α",IF(D12&lt;=7,ROUND(D8*(1+$E$105)*VLOOKUP(D10,L87:M101,2)/100*VLOOKUP(D12,F17:O23,9)/1000,-1),"α"))</f>
        <v>11010</v>
      </c>
      <c r="D34" s="18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/>
      <c r="V34" s="50">
        <f t="shared" si="3"/>
        <v>11010</v>
      </c>
    </row>
    <row r="35" spans="1:34" ht="25.35" customHeight="1">
      <c r="B35" s="46" t="s">
        <v>22</v>
      </c>
      <c r="C35" s="53">
        <f t="shared" ref="C35:V35" si="10">SUM(C29:C34)</f>
        <v>82676</v>
      </c>
      <c r="D35" s="54">
        <f t="shared" si="10"/>
        <v>85781</v>
      </c>
      <c r="E35" s="54">
        <f t="shared" si="10"/>
        <v>85518</v>
      </c>
      <c r="F35" s="54">
        <f t="shared" si="10"/>
        <v>85256</v>
      </c>
      <c r="G35" s="54">
        <f t="shared" si="10"/>
        <v>84993</v>
      </c>
      <c r="H35" s="54">
        <f t="shared" si="10"/>
        <v>84731</v>
      </c>
      <c r="I35" s="54">
        <f t="shared" si="10"/>
        <v>84468</v>
      </c>
      <c r="J35" s="54">
        <f t="shared" si="10"/>
        <v>84206</v>
      </c>
      <c r="K35" s="54">
        <f t="shared" si="10"/>
        <v>83943</v>
      </c>
      <c r="L35" s="54">
        <f t="shared" si="10"/>
        <v>83681</v>
      </c>
      <c r="M35" s="54">
        <f t="shared" si="10"/>
        <v>83418</v>
      </c>
      <c r="N35" s="54">
        <f t="shared" si="10"/>
        <v>83156</v>
      </c>
      <c r="O35" s="54">
        <f t="shared" si="10"/>
        <v>123815</v>
      </c>
      <c r="P35" s="54">
        <f t="shared" si="10"/>
        <v>0</v>
      </c>
      <c r="Q35" s="54">
        <f t="shared" si="10"/>
        <v>0</v>
      </c>
      <c r="R35" s="54">
        <f t="shared" si="10"/>
        <v>0</v>
      </c>
      <c r="S35" s="54">
        <f t="shared" si="10"/>
        <v>0</v>
      </c>
      <c r="T35" s="54">
        <f t="shared" si="10"/>
        <v>0</v>
      </c>
      <c r="U35" s="55">
        <f t="shared" si="10"/>
        <v>0</v>
      </c>
      <c r="V35" s="50">
        <f t="shared" si="10"/>
        <v>1135642</v>
      </c>
    </row>
    <row r="36" spans="1:34" ht="18.600000000000001" customHeight="1"/>
    <row r="37" spans="1:34" ht="17.649999999999999" customHeight="1">
      <c r="B37" s="56" t="s">
        <v>76</v>
      </c>
      <c r="E37" s="57"/>
      <c r="I37" s="57"/>
      <c r="K37" s="216" t="s">
        <v>49</v>
      </c>
      <c r="L37" s="216"/>
      <c r="M37" s="216"/>
      <c r="N37" s="216"/>
      <c r="O37" s="216"/>
      <c r="P37" s="216"/>
      <c r="Q37" s="216"/>
      <c r="R37" s="216"/>
    </row>
    <row r="38" spans="1:34" s="60" customFormat="1" ht="16.350000000000001" customHeight="1">
      <c r="A38" s="58"/>
      <c r="B38" s="128" t="s">
        <v>57</v>
      </c>
      <c r="C38" s="126">
        <f>INT(D8*(1+$E$105))</f>
        <v>1100000</v>
      </c>
      <c r="D38" s="59">
        <f>IF(AND(D47=0,D58=0),(C38-(C29+C30)),IF(AND(D47=1,D58=1),(C38-(C29+C30)),0))</f>
        <v>1031250</v>
      </c>
      <c r="E38" s="59">
        <f t="shared" ref="E38:U38" si="11">IF(AND(E47=0,E58=0),(D38-(D29+D30)),IF(AND(E47=1,E58=1),(D38-(D29+D30)),0))</f>
        <v>948750</v>
      </c>
      <c r="F38" s="59">
        <f t="shared" si="11"/>
        <v>866250</v>
      </c>
      <c r="G38" s="59">
        <f t="shared" si="11"/>
        <v>783750</v>
      </c>
      <c r="H38" s="59">
        <f t="shared" si="11"/>
        <v>701250</v>
      </c>
      <c r="I38" s="59">
        <f t="shared" si="11"/>
        <v>618750</v>
      </c>
      <c r="J38" s="59">
        <f t="shared" si="11"/>
        <v>536250</v>
      </c>
      <c r="K38" s="59">
        <f t="shared" si="11"/>
        <v>453750</v>
      </c>
      <c r="L38" s="59">
        <f t="shared" si="11"/>
        <v>371250</v>
      </c>
      <c r="M38" s="59">
        <f t="shared" si="11"/>
        <v>288750</v>
      </c>
      <c r="N38" s="59">
        <f t="shared" si="11"/>
        <v>206250</v>
      </c>
      <c r="O38" s="59">
        <f t="shared" si="11"/>
        <v>123750</v>
      </c>
      <c r="P38" s="59">
        <f t="shared" si="11"/>
        <v>0</v>
      </c>
      <c r="Q38" s="59">
        <f t="shared" si="11"/>
        <v>0</v>
      </c>
      <c r="R38" s="59">
        <f t="shared" si="11"/>
        <v>0</v>
      </c>
      <c r="S38" s="59">
        <f t="shared" si="11"/>
        <v>0</v>
      </c>
      <c r="T38" s="59">
        <f t="shared" si="11"/>
        <v>0</v>
      </c>
      <c r="U38" s="59">
        <f t="shared" si="11"/>
        <v>0</v>
      </c>
      <c r="V38" s="206" t="s">
        <v>34</v>
      </c>
    </row>
    <row r="39" spans="1:34" ht="16.350000000000001" customHeight="1">
      <c r="A39" s="61"/>
      <c r="B39" s="129" t="s">
        <v>58</v>
      </c>
      <c r="C39" s="127">
        <f t="shared" ref="C39:U39" si="12">IF(C38&gt;$F$113,$F$113,C38)</f>
        <v>1100000</v>
      </c>
      <c r="D39" s="62">
        <f t="shared" si="12"/>
        <v>1031250</v>
      </c>
      <c r="E39" s="62">
        <f t="shared" si="12"/>
        <v>948750</v>
      </c>
      <c r="F39" s="62">
        <f t="shared" si="12"/>
        <v>866250</v>
      </c>
      <c r="G39" s="62">
        <f t="shared" si="12"/>
        <v>783750</v>
      </c>
      <c r="H39" s="62">
        <f t="shared" si="12"/>
        <v>701250</v>
      </c>
      <c r="I39" s="62">
        <f t="shared" si="12"/>
        <v>618750</v>
      </c>
      <c r="J39" s="62">
        <f t="shared" si="12"/>
        <v>536250</v>
      </c>
      <c r="K39" s="62">
        <f t="shared" si="12"/>
        <v>453750</v>
      </c>
      <c r="L39" s="62">
        <f t="shared" si="12"/>
        <v>371250</v>
      </c>
      <c r="M39" s="62">
        <f t="shared" si="12"/>
        <v>288750</v>
      </c>
      <c r="N39" s="62">
        <f t="shared" si="12"/>
        <v>206250</v>
      </c>
      <c r="O39" s="62">
        <f t="shared" si="12"/>
        <v>123750</v>
      </c>
      <c r="P39" s="62">
        <f t="shared" si="12"/>
        <v>0</v>
      </c>
      <c r="Q39" s="62">
        <f t="shared" si="12"/>
        <v>0</v>
      </c>
      <c r="R39" s="63">
        <f t="shared" si="12"/>
        <v>0</v>
      </c>
      <c r="S39" s="64">
        <f t="shared" si="12"/>
        <v>0</v>
      </c>
      <c r="T39" s="64">
        <f t="shared" si="12"/>
        <v>0</v>
      </c>
      <c r="U39" s="136">
        <f t="shared" si="12"/>
        <v>0</v>
      </c>
      <c r="V39" s="207"/>
    </row>
    <row r="40" spans="1:34" ht="16.350000000000001" customHeight="1">
      <c r="A40" s="61"/>
      <c r="B40" s="130" t="s">
        <v>47</v>
      </c>
      <c r="C40" s="146">
        <f>INT(ROUNDDOWN((ROUNDDOWN(C39*0.0048/12,2))*6,0)*$D$64)</f>
        <v>2200</v>
      </c>
      <c r="D40" s="125">
        <f>IF(AND(D47=0,D58=0),INT(ROUNDDOWN(D38*0.0048/12,2)*6),IF(AND(D47=1,D58=1),INT(ROUNDDOWN((ROUNDDOWN(D38*0.0048/12,2))*6,0)*$E$64),0))</f>
        <v>2475</v>
      </c>
      <c r="E40" s="125">
        <f t="shared" ref="E40:U40" si="13">IF(AND(E47=0,E58=0),INT(ROUNDDOWN(E38*0.0048/12,2)*6),IF(AND(E47=1,E58=1),INT(ROUNDDOWN((ROUNDDOWN(E38*0.0048/12,2))*6,0)*$E$64),0))</f>
        <v>2277</v>
      </c>
      <c r="F40" s="125">
        <f t="shared" si="13"/>
        <v>2079</v>
      </c>
      <c r="G40" s="125">
        <f t="shared" si="13"/>
        <v>1881</v>
      </c>
      <c r="H40" s="125">
        <f t="shared" si="13"/>
        <v>1683</v>
      </c>
      <c r="I40" s="125">
        <f t="shared" si="13"/>
        <v>1485</v>
      </c>
      <c r="J40" s="125">
        <f t="shared" si="13"/>
        <v>1287</v>
      </c>
      <c r="K40" s="125">
        <f t="shared" si="13"/>
        <v>1089</v>
      </c>
      <c r="L40" s="125">
        <f t="shared" si="13"/>
        <v>891</v>
      </c>
      <c r="M40" s="125">
        <f t="shared" si="13"/>
        <v>693</v>
      </c>
      <c r="N40" s="125">
        <f t="shared" si="13"/>
        <v>495</v>
      </c>
      <c r="O40" s="125">
        <f t="shared" si="13"/>
        <v>49</v>
      </c>
      <c r="P40" s="125">
        <f t="shared" si="13"/>
        <v>0</v>
      </c>
      <c r="Q40" s="125">
        <f t="shared" si="13"/>
        <v>0</v>
      </c>
      <c r="R40" s="142">
        <f t="shared" si="13"/>
        <v>0</v>
      </c>
      <c r="S40" s="143">
        <f t="shared" si="13"/>
        <v>0</v>
      </c>
      <c r="T40" s="142">
        <f t="shared" si="13"/>
        <v>0</v>
      </c>
      <c r="U40" s="144">
        <f t="shared" si="13"/>
        <v>0</v>
      </c>
      <c r="V40" s="138">
        <f>SUM(C40:U40)</f>
        <v>18584</v>
      </c>
    </row>
    <row r="41" spans="1:34" ht="24">
      <c r="A41" s="61"/>
      <c r="B41" s="124" t="s">
        <v>59</v>
      </c>
      <c r="C41" s="131">
        <f>IF(C38*0.95&gt;$F$113,$F$113,ROUND(C38*0.95,0))</f>
        <v>1045000</v>
      </c>
      <c r="D41" s="132">
        <f>IF(D38*0.95&gt;$F$113,$F$113,ROUND(D38*0.95,0))</f>
        <v>979688</v>
      </c>
      <c r="E41" s="132">
        <f t="shared" ref="E41:U41" si="14">IF(E38*0.95&gt;$F$113,$F$113,ROUND(E38*0.95,0))</f>
        <v>901313</v>
      </c>
      <c r="F41" s="132">
        <f t="shared" si="14"/>
        <v>822938</v>
      </c>
      <c r="G41" s="132">
        <f t="shared" si="14"/>
        <v>744563</v>
      </c>
      <c r="H41" s="132">
        <f t="shared" si="14"/>
        <v>666188</v>
      </c>
      <c r="I41" s="132">
        <f t="shared" si="14"/>
        <v>587813</v>
      </c>
      <c r="J41" s="132">
        <f t="shared" si="14"/>
        <v>509438</v>
      </c>
      <c r="K41" s="132">
        <f t="shared" si="14"/>
        <v>431063</v>
      </c>
      <c r="L41" s="132">
        <f t="shared" si="14"/>
        <v>352688</v>
      </c>
      <c r="M41" s="132">
        <f t="shared" si="14"/>
        <v>274313</v>
      </c>
      <c r="N41" s="132">
        <f t="shared" si="14"/>
        <v>195938</v>
      </c>
      <c r="O41" s="132">
        <f t="shared" si="14"/>
        <v>117563</v>
      </c>
      <c r="P41" s="132">
        <f t="shared" si="14"/>
        <v>0</v>
      </c>
      <c r="Q41" s="132">
        <f t="shared" si="14"/>
        <v>0</v>
      </c>
      <c r="R41" s="133">
        <f t="shared" si="14"/>
        <v>0</v>
      </c>
      <c r="S41" s="134">
        <f t="shared" si="14"/>
        <v>0</v>
      </c>
      <c r="T41" s="134">
        <f t="shared" si="14"/>
        <v>0</v>
      </c>
      <c r="U41" s="137">
        <f t="shared" si="14"/>
        <v>0</v>
      </c>
      <c r="V41" s="50"/>
    </row>
    <row r="42" spans="1:34" ht="14.25" hidden="1" thickBot="1"/>
    <row r="43" spans="1:34" ht="18" hidden="1" thickBot="1">
      <c r="A43" s="65"/>
      <c r="B43" s="66" t="s">
        <v>48</v>
      </c>
      <c r="C43" s="67">
        <f>K105</f>
        <v>7.0000000000000001E-3</v>
      </c>
    </row>
    <row r="44" spans="1:34" ht="14.25" hidden="1" thickBot="1">
      <c r="A44" s="68">
        <f>MONTH(D11)</f>
        <v>5</v>
      </c>
      <c r="B44" s="5" t="s">
        <v>0</v>
      </c>
    </row>
    <row r="45" spans="1:34" hidden="1"/>
    <row r="46" spans="1:34" hidden="1">
      <c r="B46" s="5" t="s">
        <v>27</v>
      </c>
      <c r="C46" s="5">
        <v>1</v>
      </c>
      <c r="D46" s="5">
        <v>2</v>
      </c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  <c r="N46" s="5">
        <v>12</v>
      </c>
      <c r="O46" s="5">
        <v>13</v>
      </c>
      <c r="P46" s="5">
        <v>14</v>
      </c>
      <c r="Q46" s="5">
        <v>15</v>
      </c>
      <c r="R46" s="5">
        <v>16</v>
      </c>
      <c r="S46" s="5">
        <v>17</v>
      </c>
      <c r="T46" s="5">
        <v>18</v>
      </c>
      <c r="U46" s="5">
        <v>19</v>
      </c>
    </row>
    <row r="47" spans="1:34" s="161" customFormat="1" hidden="1">
      <c r="B47" s="161" t="s">
        <v>64</v>
      </c>
      <c r="C47" s="161">
        <f t="shared" ref="C47:U47" si="15">IF((IF($D$10&gt;$G$113,$G$113,$D$10)*2)&lt;C46,1,0)</f>
        <v>0</v>
      </c>
      <c r="D47" s="161">
        <f t="shared" si="15"/>
        <v>0</v>
      </c>
      <c r="E47" s="161">
        <f t="shared" si="15"/>
        <v>0</v>
      </c>
      <c r="F47" s="161">
        <f t="shared" si="15"/>
        <v>0</v>
      </c>
      <c r="G47" s="161">
        <f t="shared" si="15"/>
        <v>0</v>
      </c>
      <c r="H47" s="161">
        <f t="shared" si="15"/>
        <v>0</v>
      </c>
      <c r="I47" s="161">
        <f t="shared" si="15"/>
        <v>0</v>
      </c>
      <c r="J47" s="161">
        <f t="shared" si="15"/>
        <v>0</v>
      </c>
      <c r="K47" s="161">
        <f t="shared" si="15"/>
        <v>0</v>
      </c>
      <c r="L47" s="161">
        <f t="shared" si="15"/>
        <v>0</v>
      </c>
      <c r="M47" s="161">
        <f t="shared" si="15"/>
        <v>0</v>
      </c>
      <c r="N47" s="161">
        <f t="shared" si="15"/>
        <v>0</v>
      </c>
      <c r="O47" s="161">
        <f t="shared" si="15"/>
        <v>1</v>
      </c>
      <c r="P47" s="161">
        <f t="shared" si="15"/>
        <v>1</v>
      </c>
      <c r="Q47" s="161">
        <f t="shared" si="15"/>
        <v>1</v>
      </c>
      <c r="R47" s="161">
        <f t="shared" si="15"/>
        <v>1</v>
      </c>
      <c r="S47" s="161">
        <f t="shared" si="15"/>
        <v>1</v>
      </c>
      <c r="T47" s="161">
        <f t="shared" si="15"/>
        <v>1</v>
      </c>
      <c r="U47" s="161">
        <f t="shared" si="15"/>
        <v>1</v>
      </c>
      <c r="V47" s="161">
        <f t="shared" ref="V47:AG47" si="16">IF((IF($D$10&gt;9,9,$D$10)*2)&lt;V46,1,0)</f>
        <v>0</v>
      </c>
      <c r="W47" s="161">
        <f t="shared" si="16"/>
        <v>0</v>
      </c>
      <c r="X47" s="161">
        <f t="shared" si="16"/>
        <v>0</v>
      </c>
      <c r="Y47" s="161">
        <f t="shared" si="16"/>
        <v>0</v>
      </c>
      <c r="Z47" s="161">
        <f t="shared" si="16"/>
        <v>0</v>
      </c>
      <c r="AA47" s="161">
        <f t="shared" si="16"/>
        <v>0</v>
      </c>
      <c r="AB47" s="161">
        <f t="shared" si="16"/>
        <v>0</v>
      </c>
      <c r="AC47" s="161">
        <f t="shared" si="16"/>
        <v>0</v>
      </c>
      <c r="AD47" s="161">
        <f t="shared" si="16"/>
        <v>0</v>
      </c>
      <c r="AE47" s="161">
        <f t="shared" si="16"/>
        <v>0</v>
      </c>
      <c r="AF47" s="161">
        <f t="shared" si="16"/>
        <v>0</v>
      </c>
      <c r="AG47" s="161">
        <f t="shared" si="16"/>
        <v>0</v>
      </c>
      <c r="AH47" s="161" t="s">
        <v>38</v>
      </c>
    </row>
    <row r="48" spans="1:34" hidden="1">
      <c r="B48" s="5" t="s">
        <v>60</v>
      </c>
      <c r="E48" s="69">
        <f t="shared" ref="E48:U48" si="17">IF($D$10*2&lt;E46,1,0)</f>
        <v>0</v>
      </c>
      <c r="F48" s="69">
        <f t="shared" si="17"/>
        <v>0</v>
      </c>
      <c r="G48" s="69">
        <f t="shared" si="17"/>
        <v>0</v>
      </c>
      <c r="H48" s="69">
        <f t="shared" si="17"/>
        <v>0</v>
      </c>
      <c r="I48" s="69">
        <f t="shared" si="17"/>
        <v>0</v>
      </c>
      <c r="J48" s="69">
        <f t="shared" si="17"/>
        <v>0</v>
      </c>
      <c r="K48" s="69">
        <f t="shared" si="17"/>
        <v>0</v>
      </c>
      <c r="L48" s="69">
        <f t="shared" si="17"/>
        <v>0</v>
      </c>
      <c r="M48" s="69">
        <f t="shared" si="17"/>
        <v>0</v>
      </c>
      <c r="N48" s="69">
        <f t="shared" si="17"/>
        <v>0</v>
      </c>
      <c r="O48" s="69">
        <f t="shared" si="17"/>
        <v>1</v>
      </c>
      <c r="P48" s="69">
        <f t="shared" si="17"/>
        <v>1</v>
      </c>
      <c r="Q48" s="69">
        <f t="shared" si="17"/>
        <v>1</v>
      </c>
      <c r="R48" s="69">
        <f t="shared" si="17"/>
        <v>1</v>
      </c>
      <c r="S48" s="69">
        <f t="shared" si="17"/>
        <v>1</v>
      </c>
      <c r="T48" s="69">
        <f t="shared" si="17"/>
        <v>1</v>
      </c>
      <c r="U48" s="69">
        <f t="shared" si="17"/>
        <v>1</v>
      </c>
      <c r="V48" s="5" t="s">
        <v>38</v>
      </c>
    </row>
    <row r="49" spans="1:29" hidden="1">
      <c r="A49" s="70" t="s">
        <v>26</v>
      </c>
      <c r="B49" s="71" t="s">
        <v>23</v>
      </c>
      <c r="C49" s="71"/>
      <c r="D49" s="71">
        <f>IF(D48=1,0,SUM($C$50:C50))</f>
        <v>62500</v>
      </c>
      <c r="E49" s="71">
        <f>IF(E48=1,0,SUM($C$50:D50))</f>
        <v>137500</v>
      </c>
      <c r="F49" s="71">
        <f>IF(F48=1,0,SUM($C$50:E50))</f>
        <v>212500</v>
      </c>
      <c r="G49" s="71">
        <f>IF(G48=1,0,SUM($C$50:F50))</f>
        <v>287500</v>
      </c>
      <c r="H49" s="71">
        <f>IF(H48=1,0,SUM($C$50:G50))</f>
        <v>362500</v>
      </c>
      <c r="I49" s="71">
        <f>IF(I48=1,0,SUM($C$50:H50))</f>
        <v>437500</v>
      </c>
      <c r="J49" s="71">
        <f>IF(J48=1,0,SUM($C$50:I50))</f>
        <v>512500</v>
      </c>
      <c r="K49" s="71">
        <f>IF(K48=1,0,SUM($C$50:J50))</f>
        <v>587500</v>
      </c>
      <c r="L49" s="71">
        <f>IF(L48=1,0,SUM($C$50:K50))</f>
        <v>662500</v>
      </c>
      <c r="M49" s="71">
        <f>IF(M48=1,0,SUM($C$50:L50))</f>
        <v>737500</v>
      </c>
      <c r="N49" s="71">
        <f>IF(N48=1,0,SUM($C$50:M50))</f>
        <v>812500</v>
      </c>
      <c r="O49" s="71">
        <f>IF(O48=1,0,SUM($C$50:N50))</f>
        <v>0</v>
      </c>
      <c r="P49" s="71">
        <f>IF(P48=1,0,SUM($C$50:O50))</f>
        <v>0</v>
      </c>
      <c r="Q49" s="71">
        <f>IF(Q48=1,0,SUM($C$50:P50))</f>
        <v>0</v>
      </c>
      <c r="R49" s="71">
        <f>IF(R48=1,0,SUM($C$50:Q50))</f>
        <v>0</v>
      </c>
      <c r="S49" s="71">
        <f>IF(S48=1,0,SUM($C$50:R50))</f>
        <v>0</v>
      </c>
      <c r="T49" s="71">
        <f>IF(T48=1,0,SUM($C$50:S50))</f>
        <v>0</v>
      </c>
      <c r="U49" s="71">
        <f>IF(U48=1,0,SUM($C$50:T50))</f>
        <v>0</v>
      </c>
      <c r="V49" s="5" t="s">
        <v>23</v>
      </c>
    </row>
    <row r="50" spans="1:29" hidden="1">
      <c r="A50" s="182">
        <f>INT(D8*F9)</f>
        <v>100000</v>
      </c>
      <c r="B50" s="71" t="s">
        <v>28</v>
      </c>
      <c r="C50" s="139">
        <f>D8-(SUM(D50:U50)+SUM(F54:U54)+A50)</f>
        <v>62500</v>
      </c>
      <c r="D50" s="139">
        <f>INT(D8*(1-F9)/(D10*2))</f>
        <v>75000</v>
      </c>
      <c r="E50" s="139">
        <f>IF(E48=1,0,D50)</f>
        <v>75000</v>
      </c>
      <c r="F50" s="139">
        <f>IF(F48=1,0,E50)</f>
        <v>75000</v>
      </c>
      <c r="G50" s="139">
        <f>IF(G48=1,0,F50)</f>
        <v>75000</v>
      </c>
      <c r="H50" s="139">
        <f>IF(H48=1,0,G50)</f>
        <v>75000</v>
      </c>
      <c r="I50" s="139">
        <f t="shared" ref="I50:T50" si="18">IF(I48=1,0,H50)</f>
        <v>75000</v>
      </c>
      <c r="J50" s="139">
        <f t="shared" si="18"/>
        <v>75000</v>
      </c>
      <c r="K50" s="139">
        <f t="shared" si="18"/>
        <v>75000</v>
      </c>
      <c r="L50" s="139">
        <f t="shared" si="18"/>
        <v>75000</v>
      </c>
      <c r="M50" s="139">
        <f t="shared" si="18"/>
        <v>75000</v>
      </c>
      <c r="N50" s="139">
        <f t="shared" si="18"/>
        <v>75000</v>
      </c>
      <c r="O50" s="139">
        <f t="shared" si="18"/>
        <v>0</v>
      </c>
      <c r="P50" s="139">
        <f t="shared" si="18"/>
        <v>0</v>
      </c>
      <c r="Q50" s="139">
        <f t="shared" si="18"/>
        <v>0</v>
      </c>
      <c r="R50" s="139">
        <f t="shared" si="18"/>
        <v>0</v>
      </c>
      <c r="S50" s="139">
        <f t="shared" si="18"/>
        <v>0</v>
      </c>
      <c r="T50" s="139">
        <f t="shared" si="18"/>
        <v>0</v>
      </c>
      <c r="U50" s="139"/>
      <c r="V50" s="5" t="s">
        <v>37</v>
      </c>
    </row>
    <row r="51" spans="1:29" hidden="1">
      <c r="B51" s="71" t="s">
        <v>24</v>
      </c>
      <c r="C51" s="139">
        <f>INT((D8-A50)*E105)-SUM(D51:T51)-SUM(F55:U55)</f>
        <v>6250</v>
      </c>
      <c r="D51" s="139">
        <f>INT(D50*$E$105)</f>
        <v>7500</v>
      </c>
      <c r="E51" s="139">
        <f t="shared" ref="E51:U51" si="19">INT(E50*$E$105)</f>
        <v>7500</v>
      </c>
      <c r="F51" s="139">
        <f t="shared" si="19"/>
        <v>7500</v>
      </c>
      <c r="G51" s="139">
        <f t="shared" si="19"/>
        <v>7500</v>
      </c>
      <c r="H51" s="139">
        <f t="shared" si="19"/>
        <v>7500</v>
      </c>
      <c r="I51" s="139">
        <f t="shared" si="19"/>
        <v>7500</v>
      </c>
      <c r="J51" s="139">
        <f t="shared" si="19"/>
        <v>7500</v>
      </c>
      <c r="K51" s="139">
        <f t="shared" si="19"/>
        <v>7500</v>
      </c>
      <c r="L51" s="139">
        <f t="shared" si="19"/>
        <v>7500</v>
      </c>
      <c r="M51" s="139">
        <f t="shared" si="19"/>
        <v>7500</v>
      </c>
      <c r="N51" s="139">
        <f t="shared" si="19"/>
        <v>7500</v>
      </c>
      <c r="O51" s="72">
        <f t="shared" si="19"/>
        <v>0</v>
      </c>
      <c r="P51" s="72">
        <f t="shared" si="19"/>
        <v>0</v>
      </c>
      <c r="Q51" s="72">
        <f t="shared" si="19"/>
        <v>0</v>
      </c>
      <c r="R51" s="72">
        <f t="shared" si="19"/>
        <v>0</v>
      </c>
      <c r="S51" s="72">
        <f t="shared" si="19"/>
        <v>0</v>
      </c>
      <c r="T51" s="72">
        <f t="shared" si="19"/>
        <v>0</v>
      </c>
      <c r="U51" s="72">
        <f t="shared" si="19"/>
        <v>0</v>
      </c>
      <c r="V51" s="5" t="s">
        <v>36</v>
      </c>
    </row>
    <row r="52" spans="1:29" hidden="1">
      <c r="B52" s="71" t="s">
        <v>25</v>
      </c>
      <c r="C52" s="72">
        <f>INT(D8*(C43)/2*D64)</f>
        <v>2916</v>
      </c>
      <c r="D52" s="72">
        <f t="shared" ref="D52:U52" si="20">INT(IF(D48=1,0,($D$8-D49)*($C$43)/2))</f>
        <v>3281</v>
      </c>
      <c r="E52" s="72">
        <f t="shared" si="20"/>
        <v>3018</v>
      </c>
      <c r="F52" s="72">
        <f t="shared" si="20"/>
        <v>2756</v>
      </c>
      <c r="G52" s="72">
        <f t="shared" si="20"/>
        <v>2493</v>
      </c>
      <c r="H52" s="72">
        <f t="shared" si="20"/>
        <v>2231</v>
      </c>
      <c r="I52" s="72">
        <f t="shared" si="20"/>
        <v>1968</v>
      </c>
      <c r="J52" s="72">
        <f t="shared" si="20"/>
        <v>1706</v>
      </c>
      <c r="K52" s="72">
        <f t="shared" si="20"/>
        <v>1443</v>
      </c>
      <c r="L52" s="72">
        <f t="shared" si="20"/>
        <v>1181</v>
      </c>
      <c r="M52" s="72">
        <f t="shared" si="20"/>
        <v>918</v>
      </c>
      <c r="N52" s="72">
        <f t="shared" si="20"/>
        <v>656</v>
      </c>
      <c r="O52" s="72">
        <f t="shared" si="20"/>
        <v>0</v>
      </c>
      <c r="P52" s="72">
        <f t="shared" si="20"/>
        <v>0</v>
      </c>
      <c r="Q52" s="72">
        <f t="shared" si="20"/>
        <v>0</v>
      </c>
      <c r="R52" s="72">
        <f t="shared" si="20"/>
        <v>0</v>
      </c>
      <c r="S52" s="140">
        <f t="shared" si="20"/>
        <v>0</v>
      </c>
      <c r="T52" s="72">
        <f t="shared" si="20"/>
        <v>0</v>
      </c>
      <c r="U52" s="72">
        <f t="shared" si="20"/>
        <v>0</v>
      </c>
      <c r="V52" s="5" t="s">
        <v>25</v>
      </c>
    </row>
    <row r="53" spans="1:29" hidden="1"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140"/>
      <c r="T53" s="72"/>
      <c r="U53" s="72"/>
    </row>
    <row r="54" spans="1:29" hidden="1">
      <c r="A54" s="73"/>
      <c r="B54" s="71" t="s">
        <v>35</v>
      </c>
      <c r="C54" s="74"/>
      <c r="D54" s="74"/>
      <c r="E54" s="74"/>
      <c r="F54" s="75">
        <f t="shared" ref="F54:U54" si="21">INT(F59*$E$64*E50)</f>
        <v>0</v>
      </c>
      <c r="G54" s="75">
        <f t="shared" si="21"/>
        <v>0</v>
      </c>
      <c r="H54" s="75">
        <f t="shared" si="21"/>
        <v>0</v>
      </c>
      <c r="I54" s="75">
        <f t="shared" si="21"/>
        <v>0</v>
      </c>
      <c r="J54" s="75">
        <f t="shared" si="21"/>
        <v>0</v>
      </c>
      <c r="K54" s="75">
        <f t="shared" si="21"/>
        <v>0</v>
      </c>
      <c r="L54" s="75">
        <f t="shared" si="21"/>
        <v>0</v>
      </c>
      <c r="M54" s="75">
        <f t="shared" si="21"/>
        <v>0</v>
      </c>
      <c r="N54" s="75">
        <f t="shared" si="21"/>
        <v>0</v>
      </c>
      <c r="O54" s="75">
        <f t="shared" si="21"/>
        <v>12500</v>
      </c>
      <c r="P54" s="75">
        <f t="shared" si="21"/>
        <v>0</v>
      </c>
      <c r="Q54" s="75">
        <f t="shared" si="21"/>
        <v>0</v>
      </c>
      <c r="R54" s="75">
        <f t="shared" si="21"/>
        <v>0</v>
      </c>
      <c r="S54" s="75">
        <f t="shared" si="21"/>
        <v>0</v>
      </c>
      <c r="T54" s="75">
        <f t="shared" si="21"/>
        <v>0</v>
      </c>
      <c r="U54" s="75">
        <f t="shared" si="21"/>
        <v>0</v>
      </c>
      <c r="V54" s="5" t="s">
        <v>35</v>
      </c>
    </row>
    <row r="55" spans="1:29" hidden="1">
      <c r="A55" s="76"/>
      <c r="B55" s="71" t="s">
        <v>36</v>
      </c>
      <c r="C55" s="71"/>
      <c r="D55" s="71"/>
      <c r="E55" s="71">
        <f t="shared" ref="E55:N55" si="22">INT(E54*$E$105)</f>
        <v>0</v>
      </c>
      <c r="F55" s="71">
        <f t="shared" si="22"/>
        <v>0</v>
      </c>
      <c r="G55" s="71">
        <f t="shared" si="22"/>
        <v>0</v>
      </c>
      <c r="H55" s="71">
        <f t="shared" si="22"/>
        <v>0</v>
      </c>
      <c r="I55" s="72">
        <f t="shared" si="22"/>
        <v>0</v>
      </c>
      <c r="J55" s="72">
        <f t="shared" si="22"/>
        <v>0</v>
      </c>
      <c r="K55" s="72">
        <f t="shared" si="22"/>
        <v>0</v>
      </c>
      <c r="L55" s="72">
        <f t="shared" si="22"/>
        <v>0</v>
      </c>
      <c r="M55" s="72">
        <f t="shared" si="22"/>
        <v>0</v>
      </c>
      <c r="N55" s="72">
        <f t="shared" si="22"/>
        <v>0</v>
      </c>
      <c r="O55" s="139">
        <f>INT(O54*$E$105)</f>
        <v>1250</v>
      </c>
      <c r="P55" s="72">
        <f t="shared" ref="P55:U55" si="23">INT(P54*$E$105)</f>
        <v>0</v>
      </c>
      <c r="Q55" s="72">
        <f t="shared" si="23"/>
        <v>0</v>
      </c>
      <c r="R55" s="72">
        <f t="shared" si="23"/>
        <v>0</v>
      </c>
      <c r="S55" s="72">
        <f t="shared" si="23"/>
        <v>0</v>
      </c>
      <c r="T55" s="72">
        <f t="shared" si="23"/>
        <v>0</v>
      </c>
      <c r="U55" s="72">
        <f t="shared" si="23"/>
        <v>0</v>
      </c>
      <c r="V55" s="5" t="s">
        <v>36</v>
      </c>
    </row>
    <row r="56" spans="1:29" hidden="1">
      <c r="A56" s="77"/>
      <c r="B56" s="71" t="s">
        <v>25</v>
      </c>
      <c r="C56" s="72"/>
      <c r="D56" s="71"/>
      <c r="E56" s="71"/>
      <c r="F56" s="71"/>
      <c r="G56" s="72">
        <f>INT((($D$8-SUM($C$50:F50))*($C$43)/2)*$E$64*G59)</f>
        <v>0</v>
      </c>
      <c r="H56" s="72">
        <f>INT((($D$8-SUM($C$50:G50))*($C$43)/2)*$E$64*H59)</f>
        <v>0</v>
      </c>
      <c r="I56" s="72">
        <f>INT((($D$8-SUM($C$50:H50))*($C$43)/2)*$E$64*I59)</f>
        <v>0</v>
      </c>
      <c r="J56" s="72">
        <f>INT((($D$8-SUM($C$50:I50))*($C$43)/2)*$E$64*J59)</f>
        <v>0</v>
      </c>
      <c r="K56" s="72">
        <f>INT((($D$8-SUM($C$50:J50))*($C$43)/2)*$E$64*K59)</f>
        <v>0</v>
      </c>
      <c r="L56" s="72">
        <f>INT((($D$8-SUM($C$50:K50))*($C$43)/2)*$E$64*L59)</f>
        <v>0</v>
      </c>
      <c r="M56" s="72">
        <f>INT((($D$8-SUM($C$50:L50))*($C$43)/2)*$E$64*M59)</f>
        <v>0</v>
      </c>
      <c r="N56" s="72">
        <f>INT((($D$8-SUM($C$50:M50))*($C$43)/2)*$E$64*N59)</f>
        <v>0</v>
      </c>
      <c r="O56" s="72">
        <f>INT((($D$8-SUM($C$50:N50))*($C$43)/2)*$E$64*O59)</f>
        <v>65</v>
      </c>
      <c r="P56" s="72">
        <f>INT((($D$8-SUM($C$50:O50))*($C$43)/2)*$E$64*P59)</f>
        <v>0</v>
      </c>
      <c r="Q56" s="72">
        <f>INT((($D$8-SUM($C$50:P50))*($C$43)/2)*$E$64*Q59)</f>
        <v>0</v>
      </c>
      <c r="R56" s="72">
        <f>INT((($D$8-SUM($C$50:Q50))*($C$43)/2)*$E$64*R59)</f>
        <v>0</v>
      </c>
      <c r="S56" s="139">
        <f>INT((($D$8-SUM($C$50:R50))*($C$43)/2)*$E$64*S59)</f>
        <v>0</v>
      </c>
      <c r="T56" s="72">
        <f>INT((($D$8-SUM($C$50:S50))*($C$43)/2)*$E$64*T59)</f>
        <v>0</v>
      </c>
      <c r="U56" s="72">
        <f>INT((($D$8-SUM($C$50:T50))*($C$43)/2)*$E$64*U59)</f>
        <v>0</v>
      </c>
      <c r="V56" s="5" t="s">
        <v>25</v>
      </c>
    </row>
    <row r="57" spans="1:29" hidden="1"/>
    <row r="58" spans="1:29" hidden="1">
      <c r="B58" s="159" t="s">
        <v>63</v>
      </c>
      <c r="C58" s="149">
        <f>H63</f>
        <v>1</v>
      </c>
      <c r="D58" s="149">
        <f>IF(D46=$I$63,IF($H$63=1,1,0),0)</f>
        <v>0</v>
      </c>
      <c r="E58" s="149">
        <f t="shared" ref="E58:U58" si="24">IF(E46=$I$63,IF($H$63=1,1,0),0)</f>
        <v>0</v>
      </c>
      <c r="F58" s="149">
        <f t="shared" si="24"/>
        <v>0</v>
      </c>
      <c r="G58" s="149">
        <f t="shared" si="24"/>
        <v>0</v>
      </c>
      <c r="H58" s="149">
        <f t="shared" si="24"/>
        <v>0</v>
      </c>
      <c r="I58" s="149">
        <f t="shared" si="24"/>
        <v>0</v>
      </c>
      <c r="J58" s="149">
        <f t="shared" si="24"/>
        <v>0</v>
      </c>
      <c r="K58" s="149">
        <f t="shared" si="24"/>
        <v>0</v>
      </c>
      <c r="L58" s="149">
        <f t="shared" si="24"/>
        <v>0</v>
      </c>
      <c r="M58" s="149">
        <f t="shared" si="24"/>
        <v>0</v>
      </c>
      <c r="N58" s="149">
        <f t="shared" si="24"/>
        <v>0</v>
      </c>
      <c r="O58" s="149">
        <f t="shared" si="24"/>
        <v>1</v>
      </c>
      <c r="P58" s="149">
        <f t="shared" si="24"/>
        <v>0</v>
      </c>
      <c r="Q58" s="149">
        <f t="shared" si="24"/>
        <v>0</v>
      </c>
      <c r="R58" s="149">
        <f t="shared" si="24"/>
        <v>0</v>
      </c>
      <c r="S58" s="149">
        <f t="shared" si="24"/>
        <v>0</v>
      </c>
      <c r="T58" s="149">
        <f t="shared" si="24"/>
        <v>0</v>
      </c>
      <c r="U58" s="149">
        <f t="shared" si="24"/>
        <v>0</v>
      </c>
      <c r="V58" s="61"/>
    </row>
    <row r="59" spans="1:29" hidden="1">
      <c r="B59" s="82" t="s">
        <v>62</v>
      </c>
      <c r="C59" s="147">
        <f>H64</f>
        <v>1</v>
      </c>
      <c r="D59" s="147">
        <f>IF(D46=$I$64,IF($H$64=1,1,0),0)</f>
        <v>0</v>
      </c>
      <c r="E59" s="147">
        <f t="shared" ref="E59:U59" si="25">IF(E46=$I$64,IF($H$64=1,1,0),0)</f>
        <v>0</v>
      </c>
      <c r="F59" s="147">
        <f t="shared" si="25"/>
        <v>0</v>
      </c>
      <c r="G59" s="147">
        <f t="shared" si="25"/>
        <v>0</v>
      </c>
      <c r="H59" s="147">
        <f t="shared" si="25"/>
        <v>0</v>
      </c>
      <c r="I59" s="147">
        <f t="shared" si="25"/>
        <v>0</v>
      </c>
      <c r="J59" s="147">
        <f t="shared" si="25"/>
        <v>0</v>
      </c>
      <c r="K59" s="147">
        <f t="shared" si="25"/>
        <v>0</v>
      </c>
      <c r="L59" s="147">
        <f t="shared" si="25"/>
        <v>0</v>
      </c>
      <c r="M59" s="147">
        <f t="shared" si="25"/>
        <v>0</v>
      </c>
      <c r="N59" s="147">
        <f t="shared" si="25"/>
        <v>0</v>
      </c>
      <c r="O59" s="147">
        <f t="shared" si="25"/>
        <v>1</v>
      </c>
      <c r="P59" s="147">
        <f t="shared" si="25"/>
        <v>0</v>
      </c>
      <c r="Q59" s="147">
        <f t="shared" si="25"/>
        <v>0</v>
      </c>
      <c r="R59" s="147">
        <f t="shared" si="25"/>
        <v>0</v>
      </c>
      <c r="S59" s="147">
        <f t="shared" si="25"/>
        <v>0</v>
      </c>
      <c r="T59" s="147">
        <f t="shared" si="25"/>
        <v>0</v>
      </c>
      <c r="U59" s="147">
        <f t="shared" si="25"/>
        <v>0</v>
      </c>
      <c r="V59" s="61"/>
    </row>
    <row r="60" spans="1:29" hidden="1">
      <c r="A60" s="61"/>
      <c r="B60" s="7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61"/>
      <c r="Q60" s="61"/>
      <c r="R60" s="160"/>
      <c r="V60" s="61"/>
    </row>
    <row r="61" spans="1:29" hidden="1">
      <c r="A61" s="61"/>
      <c r="B61" s="81" t="s">
        <v>26</v>
      </c>
      <c r="C61" s="82"/>
      <c r="D61" s="82">
        <f t="shared" ref="D61:N61" si="26">IF($H$64=1,$D$8*$F$9*D59,IF(D48=1,0,IF(E48=1,$D$8*$F$9,0)))</f>
        <v>0</v>
      </c>
      <c r="E61" s="82">
        <f t="shared" si="26"/>
        <v>0</v>
      </c>
      <c r="F61" s="82">
        <f t="shared" si="26"/>
        <v>0</v>
      </c>
      <c r="G61" s="82">
        <f t="shared" si="26"/>
        <v>0</v>
      </c>
      <c r="H61" s="82">
        <f t="shared" si="26"/>
        <v>0</v>
      </c>
      <c r="I61" s="82">
        <f t="shared" si="26"/>
        <v>0</v>
      </c>
      <c r="J61" s="82">
        <f t="shared" si="26"/>
        <v>0</v>
      </c>
      <c r="K61" s="82">
        <f t="shared" si="26"/>
        <v>0</v>
      </c>
      <c r="L61" s="82">
        <f t="shared" si="26"/>
        <v>0</v>
      </c>
      <c r="M61" s="82">
        <f t="shared" si="26"/>
        <v>0</v>
      </c>
      <c r="N61" s="181">
        <f t="shared" si="26"/>
        <v>0</v>
      </c>
      <c r="O61" s="181">
        <f>IF($H$64=1,$D$8*$F$9*O59,IF(O48=1,0,IF(P48=1,$D$8*$F$9,0)))</f>
        <v>100000</v>
      </c>
      <c r="P61" s="82">
        <f t="shared" ref="P61:U61" si="27">IF($H$64=1,$D$8*$F$9*P59,IF(P48=1,0,IF(Q48=1,$D$8*$F$9,0)))</f>
        <v>0</v>
      </c>
      <c r="Q61" s="82">
        <f t="shared" si="27"/>
        <v>0</v>
      </c>
      <c r="R61" s="82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61"/>
    </row>
    <row r="62" spans="1:29" hidden="1">
      <c r="A62" s="61"/>
      <c r="B62" s="7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61"/>
      <c r="Q62" s="61"/>
      <c r="V62" s="61"/>
    </row>
    <row r="63" spans="1:29" hidden="1">
      <c r="A63" s="61"/>
      <c r="B63" s="79"/>
      <c r="C63" s="58"/>
      <c r="D63" s="58"/>
      <c r="E63" s="218" t="s">
        <v>61</v>
      </c>
      <c r="F63" s="218"/>
      <c r="G63" s="218"/>
      <c r="H63" s="58">
        <f>VLOOKUP(A44,B85:E96,4)</f>
        <v>1</v>
      </c>
      <c r="I63" s="58">
        <f>IF(D10&gt;$G$113,$G$113,D10)*2+H63</f>
        <v>13</v>
      </c>
      <c r="J63" s="58"/>
      <c r="K63" s="58"/>
      <c r="L63" s="58"/>
      <c r="M63" s="58"/>
      <c r="N63" s="58"/>
      <c r="O63" s="58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hidden="1">
      <c r="A64" s="61"/>
      <c r="B64" s="79"/>
      <c r="C64" s="58"/>
      <c r="D64" s="117">
        <f>VLOOKUP(A44,B73:D84,2)</f>
        <v>0.83333333333333337</v>
      </c>
      <c r="E64" s="117">
        <f>VLOOKUP(A44,B73:D84,3)</f>
        <v>0.16666666666666666</v>
      </c>
      <c r="F64" s="61"/>
      <c r="G64" s="61"/>
      <c r="H64" s="83">
        <f>VLOOKUP(A44,B85:E96,4)</f>
        <v>1</v>
      </c>
      <c r="I64" s="84">
        <f>D10*2+H64</f>
        <v>13</v>
      </c>
      <c r="J64" s="58"/>
      <c r="K64" s="58"/>
      <c r="L64" s="58"/>
      <c r="M64" s="58"/>
      <c r="N64" s="58"/>
      <c r="O64" s="58"/>
      <c r="P64" s="61"/>
      <c r="Q64" s="61"/>
    </row>
    <row r="65" spans="1:17" hidden="1">
      <c r="A65" s="61"/>
      <c r="B65" s="7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61"/>
      <c r="Q65" s="61"/>
    </row>
    <row r="66" spans="1:17" hidden="1">
      <c r="A66" s="61"/>
      <c r="B66" s="85">
        <v>3</v>
      </c>
      <c r="C66" s="86">
        <v>1.87</v>
      </c>
      <c r="J66" s="84"/>
      <c r="K66" s="84"/>
      <c r="L66" s="84"/>
      <c r="M66" s="84"/>
    </row>
    <row r="67" spans="1:17" hidden="1">
      <c r="A67" s="61"/>
      <c r="B67" s="87">
        <v>4</v>
      </c>
      <c r="C67" s="88">
        <v>2.41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17" hidden="1">
      <c r="A68" s="61"/>
      <c r="B68" s="87">
        <v>5</v>
      </c>
      <c r="C68" s="88">
        <v>2.97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17" hidden="1">
      <c r="A69" s="61"/>
      <c r="B69" s="87">
        <v>6</v>
      </c>
      <c r="C69" s="88">
        <v>3.5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7" hidden="1">
      <c r="B70" s="87">
        <v>7</v>
      </c>
      <c r="C70" s="88">
        <v>4.04</v>
      </c>
    </row>
    <row r="71" spans="1:17" hidden="1">
      <c r="B71" s="87">
        <v>8</v>
      </c>
      <c r="C71" s="88">
        <v>4.59</v>
      </c>
    </row>
    <row r="72" spans="1:17" hidden="1">
      <c r="B72" s="87">
        <v>9</v>
      </c>
      <c r="C72" s="88">
        <v>5.17</v>
      </c>
    </row>
    <row r="73" spans="1:17" hidden="1">
      <c r="B73" s="89">
        <v>1</v>
      </c>
      <c r="C73" s="118">
        <f>C79</f>
        <v>0.5</v>
      </c>
      <c r="D73" s="119">
        <f>3/6</f>
        <v>0.5</v>
      </c>
    </row>
    <row r="74" spans="1:17" hidden="1">
      <c r="B74" s="90">
        <v>2</v>
      </c>
      <c r="C74" s="120">
        <f>C80</f>
        <v>0.33333333333333331</v>
      </c>
      <c r="D74" s="121">
        <f>4/6</f>
        <v>0.66666666666666663</v>
      </c>
    </row>
    <row r="75" spans="1:17" hidden="1">
      <c r="B75" s="90">
        <v>3</v>
      </c>
      <c r="C75" s="120">
        <f>C81</f>
        <v>0.16666666666666666</v>
      </c>
      <c r="D75" s="121">
        <f>5/6</f>
        <v>0.83333333333333337</v>
      </c>
    </row>
    <row r="76" spans="1:17" hidden="1">
      <c r="B76" s="90">
        <v>4</v>
      </c>
      <c r="C76" s="120">
        <v>1</v>
      </c>
      <c r="D76" s="121">
        <f>1</f>
        <v>1</v>
      </c>
    </row>
    <row r="77" spans="1:17" hidden="1">
      <c r="B77" s="90">
        <v>5</v>
      </c>
      <c r="C77" s="120">
        <f>5/6</f>
        <v>0.83333333333333337</v>
      </c>
      <c r="D77" s="121">
        <f>1/6</f>
        <v>0.16666666666666666</v>
      </c>
    </row>
    <row r="78" spans="1:17" hidden="1">
      <c r="B78" s="90">
        <v>6</v>
      </c>
      <c r="C78" s="120">
        <f>4/6</f>
        <v>0.66666666666666663</v>
      </c>
      <c r="D78" s="121">
        <f>2/6</f>
        <v>0.33333333333333331</v>
      </c>
    </row>
    <row r="79" spans="1:17" hidden="1">
      <c r="B79" s="90">
        <v>7</v>
      </c>
      <c r="C79" s="120">
        <f>3/6</f>
        <v>0.5</v>
      </c>
      <c r="D79" s="121">
        <f>3/6</f>
        <v>0.5</v>
      </c>
    </row>
    <row r="80" spans="1:17" hidden="1">
      <c r="B80" s="90">
        <v>8</v>
      </c>
      <c r="C80" s="120">
        <f>2/6</f>
        <v>0.33333333333333331</v>
      </c>
      <c r="D80" s="121">
        <f>4/6</f>
        <v>0.66666666666666663</v>
      </c>
    </row>
    <row r="81" spans="2:13" hidden="1">
      <c r="B81" s="90">
        <v>9</v>
      </c>
      <c r="C81" s="120">
        <f>1/6</f>
        <v>0.16666666666666666</v>
      </c>
      <c r="D81" s="121">
        <f>5/6</f>
        <v>0.83333333333333337</v>
      </c>
    </row>
    <row r="82" spans="2:13" hidden="1">
      <c r="B82" s="90">
        <v>10</v>
      </c>
      <c r="C82" s="120">
        <v>1</v>
      </c>
      <c r="D82" s="121">
        <f>1</f>
        <v>1</v>
      </c>
    </row>
    <row r="83" spans="2:13" hidden="1">
      <c r="B83" s="90">
        <v>11</v>
      </c>
      <c r="C83" s="120">
        <f>C77</f>
        <v>0.83333333333333337</v>
      </c>
      <c r="D83" s="121">
        <f>1/6</f>
        <v>0.16666666666666666</v>
      </c>
    </row>
    <row r="84" spans="2:13" hidden="1">
      <c r="B84" s="91">
        <v>12</v>
      </c>
      <c r="C84" s="122">
        <f>C78</f>
        <v>0.66666666666666663</v>
      </c>
      <c r="D84" s="123">
        <f>2/6</f>
        <v>0.33333333333333331</v>
      </c>
    </row>
    <row r="85" spans="2:13" hidden="1">
      <c r="B85" s="92">
        <v>1</v>
      </c>
      <c r="C85" s="93">
        <v>3</v>
      </c>
      <c r="D85" s="94"/>
      <c r="E85" s="95">
        <v>1</v>
      </c>
    </row>
    <row r="86" spans="2:13" hidden="1">
      <c r="B86" s="96">
        <v>2</v>
      </c>
      <c r="C86" s="97">
        <v>3</v>
      </c>
      <c r="D86" s="98"/>
      <c r="E86" s="99">
        <v>1</v>
      </c>
      <c r="L86" s="5" t="s">
        <v>20</v>
      </c>
    </row>
    <row r="87" spans="2:13" ht="28.9" hidden="1" customHeight="1">
      <c r="B87" s="96">
        <v>3</v>
      </c>
      <c r="C87" s="97">
        <v>3</v>
      </c>
      <c r="D87" s="98"/>
      <c r="E87" s="99">
        <v>1</v>
      </c>
      <c r="L87" s="106" t="s">
        <v>21</v>
      </c>
      <c r="M87" s="155" t="s">
        <v>84</v>
      </c>
    </row>
    <row r="88" spans="2:13" hidden="1">
      <c r="B88" s="96">
        <v>4</v>
      </c>
      <c r="C88" s="97">
        <v>9</v>
      </c>
      <c r="D88" s="98"/>
      <c r="E88" s="99"/>
      <c r="L88" s="71">
        <v>2</v>
      </c>
      <c r="M88" s="71">
        <v>133</v>
      </c>
    </row>
    <row r="89" spans="2:13" hidden="1">
      <c r="B89" s="96">
        <v>5</v>
      </c>
      <c r="C89" s="97">
        <v>9</v>
      </c>
      <c r="D89" s="98"/>
      <c r="E89" s="99">
        <v>1</v>
      </c>
      <c r="L89" s="71">
        <v>3</v>
      </c>
      <c r="M89" s="71">
        <v>187</v>
      </c>
    </row>
    <row r="90" spans="2:13" hidden="1">
      <c r="B90" s="96">
        <v>6</v>
      </c>
      <c r="C90" s="97">
        <v>9</v>
      </c>
      <c r="D90" s="98"/>
      <c r="E90" s="99">
        <v>1</v>
      </c>
      <c r="L90" s="71">
        <v>4</v>
      </c>
      <c r="M90" s="71">
        <v>241</v>
      </c>
    </row>
    <row r="91" spans="2:13" hidden="1">
      <c r="B91" s="96">
        <v>7</v>
      </c>
      <c r="C91" s="97">
        <v>9</v>
      </c>
      <c r="D91" s="98"/>
      <c r="E91" s="99">
        <v>1</v>
      </c>
      <c r="L91" s="71">
        <v>5</v>
      </c>
      <c r="M91" s="71">
        <v>297</v>
      </c>
    </row>
    <row r="92" spans="2:13" hidden="1">
      <c r="B92" s="96">
        <v>8</v>
      </c>
      <c r="C92" s="97">
        <v>9</v>
      </c>
      <c r="D92" s="98"/>
      <c r="E92" s="99">
        <v>1</v>
      </c>
      <c r="L92" s="71">
        <v>6</v>
      </c>
      <c r="M92" s="71">
        <v>350</v>
      </c>
    </row>
    <row r="93" spans="2:13" hidden="1">
      <c r="B93" s="96">
        <v>9</v>
      </c>
      <c r="C93" s="97">
        <v>9</v>
      </c>
      <c r="D93" s="98"/>
      <c r="E93" s="99">
        <v>1</v>
      </c>
      <c r="L93" s="71">
        <v>7</v>
      </c>
      <c r="M93" s="71">
        <v>404</v>
      </c>
    </row>
    <row r="94" spans="2:13" hidden="1">
      <c r="B94" s="96">
        <v>10</v>
      </c>
      <c r="C94" s="97">
        <v>3</v>
      </c>
      <c r="D94" s="98">
        <v>1</v>
      </c>
      <c r="E94" s="99"/>
      <c r="L94" s="71">
        <v>8</v>
      </c>
      <c r="M94" s="71">
        <v>459</v>
      </c>
    </row>
    <row r="95" spans="2:13" hidden="1">
      <c r="B95" s="96">
        <v>11</v>
      </c>
      <c r="C95" s="97">
        <v>3</v>
      </c>
      <c r="D95" s="98">
        <v>1</v>
      </c>
      <c r="E95" s="99">
        <v>1</v>
      </c>
      <c r="L95" s="71">
        <v>9</v>
      </c>
      <c r="M95" s="71">
        <v>517</v>
      </c>
    </row>
    <row r="96" spans="2:13" hidden="1">
      <c r="B96" s="100">
        <v>12</v>
      </c>
      <c r="C96" s="101">
        <v>3</v>
      </c>
      <c r="D96" s="102">
        <v>1</v>
      </c>
      <c r="E96" s="103">
        <v>1</v>
      </c>
      <c r="L96" s="71">
        <v>10</v>
      </c>
      <c r="M96" s="71">
        <v>575</v>
      </c>
    </row>
    <row r="97" spans="2:13" hidden="1">
      <c r="B97" s="5">
        <f>YEAR(D11)</f>
        <v>2022</v>
      </c>
      <c r="C97" s="104">
        <f>MONTH(D11)</f>
        <v>5</v>
      </c>
      <c r="E97" s="5">
        <f>D10*2+VLOOKUP(MONTH(D11),B85:E96,4)</f>
        <v>13</v>
      </c>
      <c r="L97" s="71">
        <v>11</v>
      </c>
      <c r="M97" s="71">
        <v>624</v>
      </c>
    </row>
    <row r="98" spans="2:13" hidden="1">
      <c r="B98" s="5">
        <f>B97+VLOOKUP(C97,B85:D96,3)</f>
        <v>2022</v>
      </c>
      <c r="C98" s="5">
        <f>VLOOKUP(C97,B85:C96,2)</f>
        <v>9</v>
      </c>
      <c r="L98" s="71">
        <v>12</v>
      </c>
      <c r="M98" s="71">
        <v>675</v>
      </c>
    </row>
    <row r="99" spans="2:13" hidden="1">
      <c r="L99" s="71">
        <v>13</v>
      </c>
      <c r="M99" s="71">
        <v>773</v>
      </c>
    </row>
    <row r="100" spans="2:13" hidden="1">
      <c r="E100" s="105" t="s">
        <v>46</v>
      </c>
      <c r="L100" s="71">
        <v>14</v>
      </c>
      <c r="M100" s="71">
        <v>807</v>
      </c>
    </row>
    <row r="101" spans="2:13" hidden="1">
      <c r="L101" s="71">
        <v>15</v>
      </c>
      <c r="M101" s="71">
        <v>848</v>
      </c>
    </row>
    <row r="102" spans="2:13" hidden="1"/>
    <row r="103" spans="2:13" hidden="1"/>
    <row r="104" spans="2:13" ht="14.25" hidden="1" thickBot="1">
      <c r="B104" s="112" t="s">
        <v>54</v>
      </c>
      <c r="C104" s="113">
        <v>0.05</v>
      </c>
      <c r="E104" s="115" t="s">
        <v>55</v>
      </c>
      <c r="G104" s="189" t="s">
        <v>81</v>
      </c>
      <c r="H104" s="189"/>
      <c r="I104" s="184">
        <v>0.01</v>
      </c>
      <c r="K104" s="115" t="s">
        <v>80</v>
      </c>
    </row>
    <row r="105" spans="2:13" ht="15" hidden="1" thickBot="1">
      <c r="B105" s="81" t="s">
        <v>73</v>
      </c>
      <c r="C105" s="113">
        <v>0.08</v>
      </c>
      <c r="D105" s="12" t="s">
        <v>56</v>
      </c>
      <c r="E105" s="116">
        <f>IF(D11&lt;DATEVALUE("2014/4/1"),C104,IF(AND(D11&gt;=DATEVALUE("2014/4/1"),D11&lt;DATEVALUE("2019/9/30")),C105,C106))</f>
        <v>0.1</v>
      </c>
      <c r="G105" s="190" t="s">
        <v>82</v>
      </c>
      <c r="H105" s="190"/>
      <c r="I105" s="184">
        <v>7.0000000000000001E-3</v>
      </c>
      <c r="J105" s="12" t="s">
        <v>56</v>
      </c>
      <c r="K105" s="185">
        <f>IF(D11&lt;DATEVALUE("2022/4/1"),I104,I105)</f>
        <v>7.0000000000000001E-3</v>
      </c>
    </row>
    <row r="106" spans="2:13" hidden="1">
      <c r="B106" s="81" t="s">
        <v>79</v>
      </c>
      <c r="C106" s="113">
        <v>0.1</v>
      </c>
      <c r="E106" s="114"/>
      <c r="G106" s="190"/>
      <c r="H106" s="190"/>
      <c r="I106" s="184"/>
      <c r="K106" s="114"/>
    </row>
    <row r="107" spans="2:13" hidden="1">
      <c r="B107" s="71"/>
      <c r="C107" s="71"/>
      <c r="G107" s="190"/>
      <c r="H107" s="190"/>
      <c r="I107" s="184"/>
    </row>
    <row r="108" spans="2:13" hidden="1">
      <c r="B108" s="71"/>
      <c r="C108" s="71"/>
      <c r="G108" s="190"/>
      <c r="H108" s="190"/>
      <c r="I108" s="184"/>
    </row>
    <row r="109" spans="2:13" hidden="1"/>
    <row r="110" spans="2:13" hidden="1"/>
    <row r="111" spans="2:13" hidden="1">
      <c r="B111" s="56" t="s">
        <v>65</v>
      </c>
      <c r="F111" s="56" t="s">
        <v>66</v>
      </c>
    </row>
    <row r="112" spans="2:13" ht="27" hidden="1">
      <c r="B112" s="81" t="s">
        <v>67</v>
      </c>
      <c r="C112" s="145" t="s">
        <v>71</v>
      </c>
      <c r="D112" s="155" t="s">
        <v>69</v>
      </c>
      <c r="F112" s="145" t="s">
        <v>68</v>
      </c>
      <c r="G112" s="155" t="s">
        <v>69</v>
      </c>
    </row>
    <row r="113" spans="2:7" ht="14.25" hidden="1">
      <c r="B113" s="156">
        <v>40634</v>
      </c>
      <c r="C113" s="71">
        <v>5000000</v>
      </c>
      <c r="D113" s="71">
        <v>7</v>
      </c>
      <c r="F113" s="173">
        <f>VLOOKUP(D11, B113:D116, 2,TRUE)</f>
        <v>20000000</v>
      </c>
      <c r="G113" s="174">
        <f>VLOOKUP(D11,B113:D116, 3,TRUE)</f>
        <v>9</v>
      </c>
    </row>
    <row r="114" spans="2:7" hidden="1">
      <c r="B114" s="156">
        <v>41730</v>
      </c>
      <c r="C114" s="71">
        <v>10000000</v>
      </c>
      <c r="D114" s="71">
        <v>7</v>
      </c>
      <c r="E114" s="12" t="s">
        <v>70</v>
      </c>
    </row>
    <row r="115" spans="2:7" hidden="1">
      <c r="B115" s="156">
        <v>42095</v>
      </c>
      <c r="C115" s="71">
        <v>20000000</v>
      </c>
      <c r="D115" s="71">
        <v>9</v>
      </c>
    </row>
    <row r="116" spans="2:7" hidden="1">
      <c r="B116" s="156"/>
      <c r="C116" s="71"/>
      <c r="D116" s="71"/>
    </row>
  </sheetData>
  <sheetProtection sheet="1" objects="1" scenarios="1"/>
  <mergeCells count="43">
    <mergeCell ref="G18:H18"/>
    <mergeCell ref="I21:M21"/>
    <mergeCell ref="K2:Q2"/>
    <mergeCell ref="E63:G63"/>
    <mergeCell ref="A1:R1"/>
    <mergeCell ref="A4:N4"/>
    <mergeCell ref="A5:N5"/>
    <mergeCell ref="D11:E11"/>
    <mergeCell ref="G11:H11"/>
    <mergeCell ref="B10:C10"/>
    <mergeCell ref="B11:C11"/>
    <mergeCell ref="B26:B28"/>
    <mergeCell ref="I22:M22"/>
    <mergeCell ref="G19:H19"/>
    <mergeCell ref="G20:G21"/>
    <mergeCell ref="G22:H23"/>
    <mergeCell ref="V38:V39"/>
    <mergeCell ref="I20:M20"/>
    <mergeCell ref="I19:M19"/>
    <mergeCell ref="I11:O11"/>
    <mergeCell ref="N15:O16"/>
    <mergeCell ref="I23:M23"/>
    <mergeCell ref="V26:V28"/>
    <mergeCell ref="I18:M18"/>
    <mergeCell ref="I16:M16"/>
    <mergeCell ref="K37:R37"/>
    <mergeCell ref="A8:C8"/>
    <mergeCell ref="D10:E10"/>
    <mergeCell ref="D12:E12"/>
    <mergeCell ref="F14:O14"/>
    <mergeCell ref="I17:M17"/>
    <mergeCell ref="F15:M15"/>
    <mergeCell ref="G16:H16"/>
    <mergeCell ref="G17:H17"/>
    <mergeCell ref="A12:C12"/>
    <mergeCell ref="D8:E8"/>
    <mergeCell ref="B9:C9"/>
    <mergeCell ref="D9:E9"/>
    <mergeCell ref="G104:H104"/>
    <mergeCell ref="G105:H105"/>
    <mergeCell ref="G106:H106"/>
    <mergeCell ref="G107:H107"/>
    <mergeCell ref="G108:H108"/>
  </mergeCells>
  <phoneticPr fontId="17"/>
  <conditionalFormatting sqref="D10:E10">
    <cfRule type="cellIs" priority="1" stopIfTrue="1" operator="lessThanOrEqual">
      <formula>2</formula>
    </cfRule>
  </conditionalFormatting>
  <conditionalFormatting sqref="H25:U25">
    <cfRule type="expression" dxfId="35" priority="5" stopIfTrue="1">
      <formula>$H$48=$E$98</formula>
    </cfRule>
    <cfRule type="expression" dxfId="34" priority="17" stopIfTrue="1">
      <formula>$N$48=$E$98</formula>
    </cfRule>
    <cfRule type="cellIs" dxfId="33" priority="18" stopIfTrue="1" operator="equal">
      <formula>$E$98=$N$48</formula>
    </cfRule>
    <cfRule type="cellIs" dxfId="32" priority="19" stopIfTrue="1" operator="equal">
      <formula>$N$48=$E$98</formula>
    </cfRule>
  </conditionalFormatting>
  <conditionalFormatting sqref="I25">
    <cfRule type="expression" dxfId="31" priority="4" stopIfTrue="1">
      <formula>$I$48=$E$98</formula>
    </cfRule>
  </conditionalFormatting>
  <conditionalFormatting sqref="J25">
    <cfRule type="expression" dxfId="30" priority="3" stopIfTrue="1">
      <formula>$J$48=$E$98</formula>
    </cfRule>
  </conditionalFormatting>
  <conditionalFormatting sqref="K25">
    <cfRule type="expression" dxfId="29" priority="2" stopIfTrue="1">
      <formula>$K$48=$E$98</formula>
    </cfRule>
  </conditionalFormatting>
  <conditionalFormatting sqref="L25">
    <cfRule type="expression" dxfId="28" priority="6" stopIfTrue="1">
      <formula>$L$48=$E$98</formula>
    </cfRule>
  </conditionalFormatting>
  <conditionalFormatting sqref="M25">
    <cfRule type="expression" dxfId="27" priority="7" stopIfTrue="1">
      <formula>$M$48=$E$98</formula>
    </cfRule>
  </conditionalFormatting>
  <conditionalFormatting sqref="O25:U25">
    <cfRule type="expression" dxfId="26" priority="27" stopIfTrue="1">
      <formula>$O$48=$E$98</formula>
    </cfRule>
    <cfRule type="expression" dxfId="25" priority="28" stopIfTrue="1">
      <formula>$O$4=$E$98</formula>
    </cfRule>
  </conditionalFormatting>
  <conditionalFormatting sqref="P25">
    <cfRule type="expression" dxfId="24" priority="14" stopIfTrue="1">
      <formula>$P$48=$E$98</formula>
    </cfRule>
  </conditionalFormatting>
  <conditionalFormatting sqref="Q25">
    <cfRule type="expression" dxfId="23" priority="13" stopIfTrue="1">
      <formula>$Q$48=$E$98</formula>
    </cfRule>
  </conditionalFormatting>
  <conditionalFormatting sqref="R25">
    <cfRule type="expression" dxfId="22" priority="11" stopIfTrue="1">
      <formula>$R$48=$E$98</formula>
    </cfRule>
    <cfRule type="cellIs" dxfId="21" priority="12" stopIfTrue="1" operator="equal">
      <formula>$R$48=$E$98</formula>
    </cfRule>
  </conditionalFormatting>
  <conditionalFormatting sqref="S25">
    <cfRule type="expression" dxfId="20" priority="10" stopIfTrue="1">
      <formula>$S$48=$E$98</formula>
    </cfRule>
  </conditionalFormatting>
  <conditionalFormatting sqref="T25">
    <cfRule type="expression" dxfId="19" priority="9" stopIfTrue="1">
      <formula>$T$48=$E$98</formula>
    </cfRule>
  </conditionalFormatting>
  <conditionalFormatting sqref="U25">
    <cfRule type="expression" dxfId="18" priority="8" stopIfTrue="1">
      <formula>$U$48=$E$98</formula>
    </cfRule>
  </conditionalFormatting>
  <dataValidations count="5">
    <dataValidation type="whole" allowBlank="1" showInputMessage="1" showErrorMessage="1" sqref="D10:E10" xr:uid="{00000000-0002-0000-0000-000000000000}">
      <formula1>2</formula1>
      <formula2>9</formula2>
    </dataValidation>
    <dataValidation type="whole" errorStyle="warning" operator="greaterThanOrEqual" allowBlank="1" showInputMessage="1" showErrorMessage="1" error="入力し直し" sqref="D8:D9 E8" xr:uid="{00000000-0002-0000-0000-000001000000}">
      <formula1>100000</formula1>
    </dataValidation>
    <dataValidation type="whole" allowBlank="1" showInputMessage="1" showErrorMessage="1" sqref="D12:E12" xr:uid="{00000000-0002-0000-0000-000002000000}">
      <formula1>1</formula1>
      <formula2>7</formula2>
    </dataValidation>
    <dataValidation type="date" operator="greaterThanOrEqual" allowBlank="1" showInputMessage="1" showErrorMessage="1" sqref="D11:E11" xr:uid="{00000000-0002-0000-0000-000003000000}">
      <formula1>43191</formula1>
    </dataValidation>
    <dataValidation type="list" operator="equal" showInputMessage="1" showErrorMessage="1" sqref="F9" xr:uid="{3C97ACA1-0E87-4133-A717-E8DB86A3445F}">
      <formula1>"0,0.1"</formula1>
    </dataValidation>
  </dataValidations>
  <printOptions horizontalCentered="1"/>
  <pageMargins left="0.19685039370078741" right="0.19685039370078741" top="0.74803149606299213" bottom="0.27559055118110237" header="0.51181102362204722" footer="0.19685039370078741"/>
  <pageSetup paperSize="9" scale="59" orientation="landscape" cellComments="asDisplayed" r:id="rId1"/>
  <headerFooter alignWithMargins="0"/>
  <colBreaks count="1" manualBreakCount="1">
    <brk id="22" max="3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78"/>
  <sheetViews>
    <sheetView showZeros="0" view="pageBreakPreview" zoomScale="80" zoomScaleNormal="100" zoomScaleSheetLayoutView="80" workbookViewId="0">
      <selection activeCell="D8" sqref="D8:E8"/>
    </sheetView>
  </sheetViews>
  <sheetFormatPr defaultColWidth="8.875" defaultRowHeight="13.5"/>
  <cols>
    <col min="1" max="1" width="7.375" style="5" customWidth="1"/>
    <col min="2" max="2" width="23.125" style="5" customWidth="1"/>
    <col min="3" max="3" width="10.5" style="5" customWidth="1"/>
    <col min="4" max="5" width="11.125" style="5" customWidth="1"/>
    <col min="6" max="33" width="10.5" style="5" customWidth="1"/>
    <col min="34" max="34" width="11.875" style="5" customWidth="1"/>
    <col min="35" max="16384" width="8.875" style="5"/>
  </cols>
  <sheetData>
    <row r="1" spans="1:34" s="1" customFormat="1" ht="31.35" customHeight="1">
      <c r="A1" s="219" t="s">
        <v>86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4" s="2" customFormat="1" ht="28.35" customHeight="1">
      <c r="K2" s="217" t="s">
        <v>51</v>
      </c>
      <c r="L2" s="217"/>
      <c r="M2" s="217"/>
      <c r="N2" s="217"/>
      <c r="O2" s="217"/>
      <c r="P2" s="217"/>
      <c r="Q2" s="217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34" s="2" customFormat="1" ht="14.65" customHeight="1">
      <c r="L3" s="3"/>
      <c r="M3" s="3"/>
      <c r="N3" s="3"/>
    </row>
    <row r="4" spans="1:34" s="2" customFormat="1" ht="21.6" customHeight="1">
      <c r="A4" s="220" t="s">
        <v>50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2" customFormat="1" ht="21.6" customHeight="1">
      <c r="A5" s="220" t="s">
        <v>78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2" customFormat="1" ht="15" customHeight="1"/>
    <row r="7" spans="1:34" ht="14.25" thickBot="1"/>
    <row r="8" spans="1:34" s="6" customFormat="1" ht="27.6" customHeight="1" thickBot="1">
      <c r="B8" s="202" t="s">
        <v>39</v>
      </c>
      <c r="C8" s="226"/>
      <c r="D8" s="193">
        <v>2000000</v>
      </c>
      <c r="E8" s="194"/>
      <c r="F8" s="8" t="s">
        <v>2</v>
      </c>
      <c r="G8" s="9"/>
      <c r="H8" s="9"/>
      <c r="I8" s="9"/>
      <c r="J8" s="9"/>
      <c r="K8" s="9"/>
      <c r="L8" s="9"/>
    </row>
    <row r="9" spans="1:34" s="6" customFormat="1" ht="31.15" customHeight="1" thickBot="1">
      <c r="A9" s="178"/>
      <c r="B9" s="202" t="s">
        <v>77</v>
      </c>
      <c r="C9" s="203"/>
      <c r="D9" s="204">
        <f>INT(D8*F9)</f>
        <v>0</v>
      </c>
      <c r="E9" s="205"/>
      <c r="F9" s="187">
        <v>0</v>
      </c>
      <c r="G9" s="180"/>
      <c r="H9" s="179"/>
      <c r="I9" s="179"/>
      <c r="J9" s="179"/>
      <c r="K9" s="9"/>
      <c r="L9" s="9"/>
    </row>
    <row r="10" spans="1:34" s="6" customFormat="1" ht="27.6" customHeight="1" thickBot="1">
      <c r="B10" s="202" t="s">
        <v>40</v>
      </c>
      <c r="C10" s="203"/>
      <c r="D10" s="193">
        <v>10</v>
      </c>
      <c r="E10" s="194"/>
      <c r="F10" s="8" t="s">
        <v>1</v>
      </c>
      <c r="G10" s="9"/>
      <c r="H10" s="9"/>
      <c r="I10" s="9"/>
      <c r="J10" s="9"/>
      <c r="K10" s="9"/>
      <c r="L10" s="9"/>
    </row>
    <row r="11" spans="1:34" s="6" customFormat="1" ht="27.6" customHeight="1" thickBot="1">
      <c r="B11" s="202" t="s">
        <v>41</v>
      </c>
      <c r="C11" s="203"/>
      <c r="D11" s="221">
        <v>44835</v>
      </c>
      <c r="E11" s="222"/>
      <c r="F11" s="110" t="s">
        <v>29</v>
      </c>
      <c r="G11" s="223">
        <f>IF(D11="","",EDATE(D11,D10*12)-1)</f>
        <v>48487</v>
      </c>
      <c r="H11" s="223"/>
      <c r="I11" s="209" t="s">
        <v>83</v>
      </c>
      <c r="J11" s="210"/>
      <c r="K11" s="210"/>
      <c r="L11" s="210"/>
      <c r="M11" s="210"/>
      <c r="N11" s="210"/>
      <c r="O11" s="211"/>
    </row>
    <row r="12" spans="1:34" s="6" customFormat="1" ht="27.6" customHeight="1" thickBot="1">
      <c r="A12" s="200" t="s">
        <v>72</v>
      </c>
      <c r="B12" s="200"/>
      <c r="C12" s="201"/>
      <c r="D12" s="193">
        <v>5</v>
      </c>
      <c r="E12" s="194"/>
      <c r="F12" s="9"/>
      <c r="G12" s="9"/>
      <c r="H12" s="9"/>
      <c r="I12" s="9"/>
      <c r="J12" s="9"/>
      <c r="K12" s="9"/>
      <c r="L12" s="9"/>
    </row>
    <row r="13" spans="1:34" s="6" customFormat="1" ht="13.35" customHeight="1">
      <c r="B13" s="7"/>
      <c r="C13" s="10"/>
      <c r="D13" s="11"/>
      <c r="E13" s="11"/>
      <c r="F13" s="9"/>
      <c r="G13" s="9"/>
      <c r="H13" s="9"/>
      <c r="I13" s="9"/>
      <c r="J13" s="9"/>
      <c r="K13" s="9"/>
      <c r="L13" s="9"/>
    </row>
    <row r="14" spans="1:34" s="6" customFormat="1" ht="18" customHeight="1">
      <c r="B14" s="7"/>
      <c r="C14" s="10"/>
      <c r="D14" s="11"/>
      <c r="E14" s="11"/>
      <c r="F14" s="195" t="s">
        <v>44</v>
      </c>
      <c r="G14" s="196"/>
      <c r="H14" s="196"/>
      <c r="I14" s="196"/>
      <c r="J14" s="196"/>
      <c r="K14" s="196"/>
      <c r="L14" s="196"/>
      <c r="M14" s="196"/>
      <c r="N14" s="196"/>
      <c r="O14" s="196"/>
    </row>
    <row r="15" spans="1:34" ht="19.899999999999999" customHeight="1">
      <c r="C15" s="12"/>
      <c r="F15" s="198" t="s">
        <v>3</v>
      </c>
      <c r="G15" s="198"/>
      <c r="H15" s="198"/>
      <c r="I15" s="198"/>
      <c r="J15" s="198"/>
      <c r="K15" s="198"/>
      <c r="L15" s="198"/>
      <c r="M15" s="198"/>
      <c r="N15" s="199" t="s">
        <v>85</v>
      </c>
      <c r="O15" s="199"/>
    </row>
    <row r="16" spans="1:34" ht="19.899999999999999" customHeight="1">
      <c r="F16" s="13" t="s">
        <v>7</v>
      </c>
      <c r="G16" s="198" t="s">
        <v>8</v>
      </c>
      <c r="H16" s="198"/>
      <c r="I16" s="198" t="s">
        <v>9</v>
      </c>
      <c r="J16" s="198"/>
      <c r="K16" s="198"/>
      <c r="L16" s="198"/>
      <c r="M16" s="198"/>
      <c r="N16" s="199"/>
      <c r="O16" s="199"/>
    </row>
    <row r="17" spans="2:34" ht="51" customHeight="1">
      <c r="F17" s="107">
        <v>1</v>
      </c>
      <c r="G17" s="199" t="s">
        <v>4</v>
      </c>
      <c r="H17" s="199"/>
      <c r="I17" s="197" t="s">
        <v>10</v>
      </c>
      <c r="J17" s="197"/>
      <c r="K17" s="197"/>
      <c r="L17" s="197"/>
      <c r="M17" s="197"/>
      <c r="N17" s="175">
        <v>3.88</v>
      </c>
      <c r="O17" s="14" t="s">
        <v>2</v>
      </c>
    </row>
    <row r="18" spans="2:34" ht="19.899999999999999" customHeight="1">
      <c r="F18" s="107">
        <v>2</v>
      </c>
      <c r="G18" s="199" t="s">
        <v>5</v>
      </c>
      <c r="H18" s="199"/>
      <c r="I18" s="197" t="s">
        <v>11</v>
      </c>
      <c r="J18" s="197"/>
      <c r="K18" s="197"/>
      <c r="L18" s="197"/>
      <c r="M18" s="197"/>
      <c r="N18" s="175">
        <v>1.54</v>
      </c>
      <c r="O18" s="14" t="s">
        <v>2</v>
      </c>
    </row>
    <row r="19" spans="2:34" ht="26.65" customHeight="1">
      <c r="F19" s="107">
        <v>3</v>
      </c>
      <c r="G19" s="199" t="s">
        <v>6</v>
      </c>
      <c r="H19" s="199"/>
      <c r="I19" s="197" t="s">
        <v>12</v>
      </c>
      <c r="J19" s="197"/>
      <c r="K19" s="197"/>
      <c r="L19" s="197"/>
      <c r="M19" s="197"/>
      <c r="N19" s="175">
        <v>1.63</v>
      </c>
      <c r="O19" s="14" t="s">
        <v>2</v>
      </c>
    </row>
    <row r="20" spans="2:34" ht="37.35" customHeight="1">
      <c r="F20" s="108">
        <v>4</v>
      </c>
      <c r="G20" s="224" t="s">
        <v>13</v>
      </c>
      <c r="H20" s="15" t="s">
        <v>14</v>
      </c>
      <c r="I20" s="208" t="s">
        <v>16</v>
      </c>
      <c r="J20" s="208"/>
      <c r="K20" s="208"/>
      <c r="L20" s="208"/>
      <c r="M20" s="208"/>
      <c r="N20" s="176">
        <v>2.86</v>
      </c>
      <c r="O20" s="16" t="s">
        <v>2</v>
      </c>
    </row>
    <row r="21" spans="2:34" ht="37.35" customHeight="1">
      <c r="F21" s="109">
        <v>5</v>
      </c>
      <c r="G21" s="225"/>
      <c r="H21" s="17" t="s">
        <v>15</v>
      </c>
      <c r="I21" s="212" t="s">
        <v>17</v>
      </c>
      <c r="J21" s="212"/>
      <c r="K21" s="212"/>
      <c r="L21" s="212"/>
      <c r="M21" s="212"/>
      <c r="N21" s="177">
        <v>3.16</v>
      </c>
      <c r="O21" s="18" t="s">
        <v>2</v>
      </c>
    </row>
    <row r="22" spans="2:34" ht="26.65" customHeight="1">
      <c r="F22" s="108">
        <v>6</v>
      </c>
      <c r="G22" s="208" t="s">
        <v>52</v>
      </c>
      <c r="H22" s="208"/>
      <c r="I22" s="208" t="s">
        <v>18</v>
      </c>
      <c r="J22" s="208"/>
      <c r="K22" s="208"/>
      <c r="L22" s="208"/>
      <c r="M22" s="208"/>
      <c r="N22" s="176">
        <v>1.54</v>
      </c>
      <c r="O22" s="16" t="s">
        <v>2</v>
      </c>
    </row>
    <row r="23" spans="2:34" ht="17.649999999999999" customHeight="1">
      <c r="F23" s="109">
        <v>7</v>
      </c>
      <c r="G23" s="212"/>
      <c r="H23" s="212"/>
      <c r="I23" s="212" t="s">
        <v>19</v>
      </c>
      <c r="J23" s="212"/>
      <c r="K23" s="212"/>
      <c r="L23" s="212"/>
      <c r="M23" s="212"/>
      <c r="N23" s="177">
        <v>2.02</v>
      </c>
      <c r="O23" s="18" t="s">
        <v>2</v>
      </c>
    </row>
    <row r="24" spans="2:34" ht="13.35" customHeight="1">
      <c r="F24" s="19"/>
      <c r="G24" s="20"/>
      <c r="H24" s="20"/>
      <c r="I24" s="20"/>
      <c r="J24" s="20"/>
      <c r="K24" s="20"/>
      <c r="L24" s="20"/>
      <c r="M24" s="20"/>
      <c r="N24" s="21"/>
      <c r="O24" s="22"/>
    </row>
    <row r="25" spans="2:34" s="23" customFormat="1" ht="20.65" customHeight="1">
      <c r="E25" s="24"/>
      <c r="F25" s="24"/>
      <c r="G25" s="24"/>
      <c r="H25" s="25" t="str">
        <f t="shared" ref="H25:Q25" si="0">IF(H46=$E$97,$E$100," ")</f>
        <v xml:space="preserve"> </v>
      </c>
      <c r="I25" s="25" t="str">
        <f t="shared" si="0"/>
        <v xml:space="preserve"> </v>
      </c>
      <c r="J25" s="25" t="str">
        <f t="shared" si="0"/>
        <v xml:space="preserve"> </v>
      </c>
      <c r="K25" s="25" t="str">
        <f t="shared" si="0"/>
        <v xml:space="preserve"> </v>
      </c>
      <c r="L25" s="25" t="str">
        <f t="shared" si="0"/>
        <v xml:space="preserve"> </v>
      </c>
      <c r="M25" s="25" t="str">
        <f t="shared" si="0"/>
        <v xml:space="preserve"> </v>
      </c>
      <c r="N25" s="26" t="str">
        <f t="shared" si="0"/>
        <v xml:space="preserve"> </v>
      </c>
      <c r="O25" s="25" t="str">
        <f t="shared" si="0"/>
        <v xml:space="preserve"> </v>
      </c>
      <c r="P25" s="25" t="str">
        <f t="shared" si="0"/>
        <v xml:space="preserve"> </v>
      </c>
      <c r="Q25" s="25" t="str">
        <f t="shared" si="0"/>
        <v xml:space="preserve"> 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 t="str">
        <f>IF(AD46=$E$97,$E$100," ")</f>
        <v xml:space="preserve"> </v>
      </c>
      <c r="AE25" s="25" t="str">
        <f>IF(AE46=$E$97,$E$100," ")</f>
        <v xml:space="preserve"> </v>
      </c>
      <c r="AF25" s="25" t="str">
        <f>IF(AF46=$E$97,$E$100," ")</f>
        <v xml:space="preserve"> </v>
      </c>
      <c r="AG25" s="25" t="str">
        <f>IF(AG46=$E$97,$E$100," ")</f>
        <v xml:space="preserve"> </v>
      </c>
    </row>
    <row r="26" spans="2:34" s="6" customFormat="1" ht="19.350000000000001" customHeight="1">
      <c r="B26" s="213" t="s">
        <v>31</v>
      </c>
      <c r="C26" s="27">
        <v>1</v>
      </c>
      <c r="D26" s="28">
        <v>2</v>
      </c>
      <c r="E26" s="28">
        <v>3</v>
      </c>
      <c r="F26" s="28">
        <v>4</v>
      </c>
      <c r="G26" s="28">
        <v>5</v>
      </c>
      <c r="H26" s="28">
        <v>6</v>
      </c>
      <c r="I26" s="28">
        <v>7</v>
      </c>
      <c r="J26" s="28">
        <v>8</v>
      </c>
      <c r="K26" s="28">
        <v>9</v>
      </c>
      <c r="L26" s="28">
        <v>10</v>
      </c>
      <c r="M26" s="28">
        <v>11</v>
      </c>
      <c r="N26" s="28">
        <v>12</v>
      </c>
      <c r="O26" s="28">
        <v>13</v>
      </c>
      <c r="P26" s="28">
        <v>14</v>
      </c>
      <c r="Q26" s="28">
        <v>15</v>
      </c>
      <c r="R26" s="28">
        <v>16</v>
      </c>
      <c r="S26" s="28">
        <v>17</v>
      </c>
      <c r="T26" s="28">
        <v>18</v>
      </c>
      <c r="U26" s="28">
        <v>19</v>
      </c>
      <c r="V26" s="28">
        <v>20</v>
      </c>
      <c r="W26" s="28">
        <v>21</v>
      </c>
      <c r="X26" s="28">
        <v>22</v>
      </c>
      <c r="Y26" s="28">
        <v>23</v>
      </c>
      <c r="Z26" s="28">
        <v>24</v>
      </c>
      <c r="AA26" s="28">
        <v>25</v>
      </c>
      <c r="AB26" s="28">
        <v>26</v>
      </c>
      <c r="AC26" s="28">
        <v>27</v>
      </c>
      <c r="AD26" s="28">
        <v>28</v>
      </c>
      <c r="AE26" s="28">
        <v>29</v>
      </c>
      <c r="AF26" s="28">
        <v>30</v>
      </c>
      <c r="AG26" s="29">
        <v>31</v>
      </c>
      <c r="AH26" s="213" t="s">
        <v>32</v>
      </c>
    </row>
    <row r="27" spans="2:34" s="6" customFormat="1" ht="14.65" customHeight="1">
      <c r="B27" s="214"/>
      <c r="C27" s="30">
        <f>DATE(B98,C98,1)</f>
        <v>44986</v>
      </c>
      <c r="D27" s="31">
        <f t="shared" ref="D27:AG27" si="1">EDATE(C27,6)</f>
        <v>45170</v>
      </c>
      <c r="E27" s="31">
        <f t="shared" si="1"/>
        <v>45352</v>
      </c>
      <c r="F27" s="31">
        <f t="shared" si="1"/>
        <v>45536</v>
      </c>
      <c r="G27" s="31">
        <f t="shared" si="1"/>
        <v>45717</v>
      </c>
      <c r="H27" s="31">
        <f t="shared" si="1"/>
        <v>45901</v>
      </c>
      <c r="I27" s="31">
        <f t="shared" si="1"/>
        <v>46082</v>
      </c>
      <c r="J27" s="31">
        <f t="shared" si="1"/>
        <v>46266</v>
      </c>
      <c r="K27" s="31">
        <f t="shared" si="1"/>
        <v>46447</v>
      </c>
      <c r="L27" s="31">
        <f t="shared" si="1"/>
        <v>46631</v>
      </c>
      <c r="M27" s="31">
        <f t="shared" si="1"/>
        <v>46813</v>
      </c>
      <c r="N27" s="31">
        <f t="shared" si="1"/>
        <v>46997</v>
      </c>
      <c r="O27" s="31">
        <f t="shared" si="1"/>
        <v>47178</v>
      </c>
      <c r="P27" s="31">
        <f t="shared" si="1"/>
        <v>47362</v>
      </c>
      <c r="Q27" s="31">
        <f t="shared" si="1"/>
        <v>47543</v>
      </c>
      <c r="R27" s="31">
        <f t="shared" si="1"/>
        <v>47727</v>
      </c>
      <c r="S27" s="31">
        <f t="shared" si="1"/>
        <v>47908</v>
      </c>
      <c r="T27" s="31">
        <f t="shared" si="1"/>
        <v>48092</v>
      </c>
      <c r="U27" s="31">
        <f t="shared" si="1"/>
        <v>48274</v>
      </c>
      <c r="V27" s="31">
        <f t="shared" si="1"/>
        <v>48458</v>
      </c>
      <c r="W27" s="31">
        <f t="shared" si="1"/>
        <v>48639</v>
      </c>
      <c r="X27" s="31">
        <f t="shared" si="1"/>
        <v>48823</v>
      </c>
      <c r="Y27" s="31">
        <f t="shared" si="1"/>
        <v>49004</v>
      </c>
      <c r="Z27" s="31">
        <f t="shared" si="1"/>
        <v>49188</v>
      </c>
      <c r="AA27" s="31">
        <f t="shared" si="1"/>
        <v>49369</v>
      </c>
      <c r="AB27" s="31">
        <f t="shared" si="1"/>
        <v>49553</v>
      </c>
      <c r="AC27" s="31">
        <f t="shared" si="1"/>
        <v>49735</v>
      </c>
      <c r="AD27" s="31">
        <f t="shared" si="1"/>
        <v>49919</v>
      </c>
      <c r="AE27" s="31">
        <f t="shared" si="1"/>
        <v>50100</v>
      </c>
      <c r="AF27" s="31">
        <f t="shared" si="1"/>
        <v>50284</v>
      </c>
      <c r="AG27" s="32">
        <f t="shared" si="1"/>
        <v>50465</v>
      </c>
      <c r="AH27" s="214"/>
    </row>
    <row r="28" spans="2:34" s="6" customFormat="1" ht="14.65" customHeight="1">
      <c r="B28" s="215"/>
      <c r="C28" s="33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34" t="s">
        <v>30</v>
      </c>
      <c r="I28" s="34" t="s">
        <v>30</v>
      </c>
      <c r="J28" s="34" t="s">
        <v>30</v>
      </c>
      <c r="K28" s="34" t="s">
        <v>30</v>
      </c>
      <c r="L28" s="34" t="s">
        <v>30</v>
      </c>
      <c r="M28" s="34" t="s">
        <v>30</v>
      </c>
      <c r="N28" s="34" t="s">
        <v>30</v>
      </c>
      <c r="O28" s="34" t="s">
        <v>30</v>
      </c>
      <c r="P28" s="34" t="s">
        <v>30</v>
      </c>
      <c r="Q28" s="34" t="s">
        <v>30</v>
      </c>
      <c r="R28" s="34" t="s">
        <v>30</v>
      </c>
      <c r="S28" s="34" t="s">
        <v>30</v>
      </c>
      <c r="T28" s="34" t="s">
        <v>30</v>
      </c>
      <c r="U28" s="34" t="s">
        <v>30</v>
      </c>
      <c r="V28" s="34" t="s">
        <v>30</v>
      </c>
      <c r="W28" s="34" t="s">
        <v>30</v>
      </c>
      <c r="X28" s="34" t="s">
        <v>30</v>
      </c>
      <c r="Y28" s="34" t="s">
        <v>30</v>
      </c>
      <c r="Z28" s="34" t="s">
        <v>30</v>
      </c>
      <c r="AA28" s="34" t="s">
        <v>30</v>
      </c>
      <c r="AB28" s="34" t="s">
        <v>30</v>
      </c>
      <c r="AC28" s="34" t="s">
        <v>30</v>
      </c>
      <c r="AD28" s="34" t="s">
        <v>30</v>
      </c>
      <c r="AE28" s="34" t="s">
        <v>30</v>
      </c>
      <c r="AF28" s="34" t="s">
        <v>30</v>
      </c>
      <c r="AG28" s="35" t="s">
        <v>30</v>
      </c>
      <c r="AH28" s="215"/>
    </row>
    <row r="29" spans="2:34" ht="22.35" customHeight="1">
      <c r="B29" s="36" t="s">
        <v>33</v>
      </c>
      <c r="C29" s="37">
        <f t="shared" ref="C29:H29" si="2">C50</f>
        <v>100000</v>
      </c>
      <c r="D29" s="38">
        <f t="shared" si="2"/>
        <v>100000</v>
      </c>
      <c r="E29" s="38">
        <f t="shared" si="2"/>
        <v>100000</v>
      </c>
      <c r="F29" s="38">
        <f t="shared" si="2"/>
        <v>100000</v>
      </c>
      <c r="G29" s="38">
        <f t="shared" si="2"/>
        <v>100000</v>
      </c>
      <c r="H29" s="38">
        <f t="shared" si="2"/>
        <v>100000</v>
      </c>
      <c r="I29" s="38">
        <f t="shared" ref="I29:AG29" si="3">I50+I54</f>
        <v>100000</v>
      </c>
      <c r="J29" s="38">
        <f t="shared" si="3"/>
        <v>100000</v>
      </c>
      <c r="K29" s="38">
        <f t="shared" si="3"/>
        <v>100000</v>
      </c>
      <c r="L29" s="38">
        <f t="shared" si="3"/>
        <v>100000</v>
      </c>
      <c r="M29" s="38">
        <f t="shared" si="3"/>
        <v>100000</v>
      </c>
      <c r="N29" s="38">
        <f t="shared" si="3"/>
        <v>100000</v>
      </c>
      <c r="O29" s="38">
        <f t="shared" si="3"/>
        <v>100000</v>
      </c>
      <c r="P29" s="38">
        <f t="shared" si="3"/>
        <v>100000</v>
      </c>
      <c r="Q29" s="38">
        <f t="shared" si="3"/>
        <v>100000</v>
      </c>
      <c r="R29" s="38">
        <f t="shared" si="3"/>
        <v>100000</v>
      </c>
      <c r="S29" s="38">
        <f t="shared" si="3"/>
        <v>100000</v>
      </c>
      <c r="T29" s="38">
        <f t="shared" si="3"/>
        <v>100000</v>
      </c>
      <c r="U29" s="38">
        <f t="shared" si="3"/>
        <v>100000</v>
      </c>
      <c r="V29" s="38">
        <f t="shared" si="3"/>
        <v>100000</v>
      </c>
      <c r="W29" s="38">
        <f t="shared" si="3"/>
        <v>0</v>
      </c>
      <c r="X29" s="38">
        <f t="shared" si="3"/>
        <v>0</v>
      </c>
      <c r="Y29" s="38">
        <f t="shared" si="3"/>
        <v>0</v>
      </c>
      <c r="Z29" s="38">
        <f t="shared" si="3"/>
        <v>0</v>
      </c>
      <c r="AA29" s="38">
        <f t="shared" si="3"/>
        <v>0</v>
      </c>
      <c r="AB29" s="38">
        <f t="shared" si="3"/>
        <v>0</v>
      </c>
      <c r="AC29" s="38">
        <f t="shared" si="3"/>
        <v>0</v>
      </c>
      <c r="AD29" s="38">
        <f t="shared" si="3"/>
        <v>0</v>
      </c>
      <c r="AE29" s="38">
        <f t="shared" si="3"/>
        <v>0</v>
      </c>
      <c r="AF29" s="38">
        <f t="shared" si="3"/>
        <v>0</v>
      </c>
      <c r="AG29" s="39">
        <f t="shared" si="3"/>
        <v>0</v>
      </c>
      <c r="AH29" s="40">
        <f t="shared" ref="AH29:AH34" si="4">SUM(C29:AG29)</f>
        <v>2000000</v>
      </c>
    </row>
    <row r="30" spans="2:34" ht="22.35" customHeight="1">
      <c r="B30" s="41" t="s">
        <v>42</v>
      </c>
      <c r="C30" s="43">
        <f t="shared" ref="C30:I30" si="5">C51+C55</f>
        <v>10000</v>
      </c>
      <c r="D30" s="43">
        <f t="shared" si="5"/>
        <v>10000</v>
      </c>
      <c r="E30" s="43">
        <f t="shared" si="5"/>
        <v>10000</v>
      </c>
      <c r="F30" s="43">
        <f t="shared" si="5"/>
        <v>10000</v>
      </c>
      <c r="G30" s="43">
        <f t="shared" si="5"/>
        <v>10000</v>
      </c>
      <c r="H30" s="43">
        <f t="shared" si="5"/>
        <v>10000</v>
      </c>
      <c r="I30" s="43">
        <f t="shared" si="5"/>
        <v>10000</v>
      </c>
      <c r="J30" s="43">
        <f t="shared" ref="J30:AG30" si="6">J51+J55</f>
        <v>10000</v>
      </c>
      <c r="K30" s="43">
        <f t="shared" si="6"/>
        <v>10000</v>
      </c>
      <c r="L30" s="43">
        <f t="shared" si="6"/>
        <v>10000</v>
      </c>
      <c r="M30" s="43">
        <f t="shared" si="6"/>
        <v>10000</v>
      </c>
      <c r="N30" s="43">
        <f t="shared" si="6"/>
        <v>10000</v>
      </c>
      <c r="O30" s="43">
        <f t="shared" si="6"/>
        <v>10000</v>
      </c>
      <c r="P30" s="43">
        <f t="shared" si="6"/>
        <v>10000</v>
      </c>
      <c r="Q30" s="43">
        <f t="shared" si="6"/>
        <v>10000</v>
      </c>
      <c r="R30" s="43">
        <f t="shared" si="6"/>
        <v>10000</v>
      </c>
      <c r="S30" s="43">
        <f t="shared" si="6"/>
        <v>10000</v>
      </c>
      <c r="T30" s="43">
        <f t="shared" si="6"/>
        <v>10000</v>
      </c>
      <c r="U30" s="43">
        <f t="shared" si="6"/>
        <v>10000</v>
      </c>
      <c r="V30" s="43">
        <f t="shared" si="6"/>
        <v>10000</v>
      </c>
      <c r="W30" s="43">
        <f t="shared" si="6"/>
        <v>0</v>
      </c>
      <c r="X30" s="43">
        <f t="shared" si="6"/>
        <v>0</v>
      </c>
      <c r="Y30" s="43">
        <f t="shared" si="6"/>
        <v>0</v>
      </c>
      <c r="Z30" s="43">
        <f t="shared" si="6"/>
        <v>0</v>
      </c>
      <c r="AA30" s="43">
        <f t="shared" si="6"/>
        <v>0</v>
      </c>
      <c r="AB30" s="43">
        <f t="shared" si="6"/>
        <v>0</v>
      </c>
      <c r="AC30" s="43">
        <f t="shared" si="6"/>
        <v>0</v>
      </c>
      <c r="AD30" s="43">
        <f t="shared" si="6"/>
        <v>0</v>
      </c>
      <c r="AE30" s="43">
        <f t="shared" si="6"/>
        <v>0</v>
      </c>
      <c r="AF30" s="43">
        <f t="shared" si="6"/>
        <v>0</v>
      </c>
      <c r="AG30" s="44">
        <f t="shared" si="6"/>
        <v>0</v>
      </c>
      <c r="AH30" s="45">
        <f t="shared" si="4"/>
        <v>200000</v>
      </c>
    </row>
    <row r="31" spans="2:34" ht="22.35" customHeight="1">
      <c r="B31" s="36" t="s">
        <v>26</v>
      </c>
      <c r="C31" s="37"/>
      <c r="D31" s="38">
        <f t="shared" ref="D31:N31" si="7">D61</f>
        <v>0</v>
      </c>
      <c r="E31" s="38">
        <f t="shared" si="7"/>
        <v>0</v>
      </c>
      <c r="F31" s="38">
        <f t="shared" si="7"/>
        <v>0</v>
      </c>
      <c r="G31" s="38">
        <f t="shared" si="7"/>
        <v>0</v>
      </c>
      <c r="H31" s="38">
        <f t="shared" si="7"/>
        <v>0</v>
      </c>
      <c r="I31" s="38">
        <f t="shared" si="7"/>
        <v>0</v>
      </c>
      <c r="J31" s="38">
        <f t="shared" si="7"/>
        <v>0</v>
      </c>
      <c r="K31" s="38">
        <f t="shared" si="7"/>
        <v>0</v>
      </c>
      <c r="L31" s="38">
        <f t="shared" si="7"/>
        <v>0</v>
      </c>
      <c r="M31" s="38">
        <f t="shared" si="7"/>
        <v>0</v>
      </c>
      <c r="N31" s="38">
        <f t="shared" si="7"/>
        <v>0</v>
      </c>
      <c r="O31" s="38">
        <f>O61</f>
        <v>0</v>
      </c>
      <c r="P31" s="38">
        <f t="shared" ref="P31:AG31" si="8">P61</f>
        <v>0</v>
      </c>
      <c r="Q31" s="38">
        <f t="shared" si="8"/>
        <v>0</v>
      </c>
      <c r="R31" s="38">
        <f t="shared" si="8"/>
        <v>0</v>
      </c>
      <c r="S31" s="38">
        <f t="shared" si="8"/>
        <v>0</v>
      </c>
      <c r="T31" s="38">
        <f t="shared" si="8"/>
        <v>0</v>
      </c>
      <c r="U31" s="38">
        <f t="shared" si="8"/>
        <v>0</v>
      </c>
      <c r="V31" s="38">
        <f t="shared" si="8"/>
        <v>0</v>
      </c>
      <c r="W31" s="38">
        <f t="shared" si="8"/>
        <v>0</v>
      </c>
      <c r="X31" s="38">
        <f t="shared" si="8"/>
        <v>0</v>
      </c>
      <c r="Y31" s="38">
        <f t="shared" si="8"/>
        <v>0</v>
      </c>
      <c r="Z31" s="38">
        <f t="shared" si="8"/>
        <v>0</v>
      </c>
      <c r="AA31" s="38">
        <f t="shared" si="8"/>
        <v>0</v>
      </c>
      <c r="AB31" s="38">
        <f t="shared" si="8"/>
        <v>0</v>
      </c>
      <c r="AC31" s="38">
        <f t="shared" si="8"/>
        <v>0</v>
      </c>
      <c r="AD31" s="38">
        <f t="shared" si="8"/>
        <v>0</v>
      </c>
      <c r="AE31" s="38">
        <f t="shared" si="8"/>
        <v>0</v>
      </c>
      <c r="AF31" s="38">
        <f t="shared" si="8"/>
        <v>0</v>
      </c>
      <c r="AG31" s="39">
        <f t="shared" si="8"/>
        <v>0</v>
      </c>
      <c r="AH31" s="40">
        <f t="shared" si="4"/>
        <v>0</v>
      </c>
    </row>
    <row r="32" spans="2:34" ht="22.35" customHeight="1">
      <c r="B32" s="41" t="s">
        <v>43</v>
      </c>
      <c r="C32" s="42"/>
      <c r="D32" s="43"/>
      <c r="E32" s="43"/>
      <c r="F32" s="43">
        <f t="shared" ref="F32:AG32" si="9">F31*$E$105</f>
        <v>0</v>
      </c>
      <c r="G32" s="43">
        <f t="shared" si="9"/>
        <v>0</v>
      </c>
      <c r="H32" s="43">
        <f t="shared" si="9"/>
        <v>0</v>
      </c>
      <c r="I32" s="43">
        <f t="shared" si="9"/>
        <v>0</v>
      </c>
      <c r="J32" s="43">
        <f t="shared" si="9"/>
        <v>0</v>
      </c>
      <c r="K32" s="43">
        <f t="shared" si="9"/>
        <v>0</v>
      </c>
      <c r="L32" s="43">
        <f t="shared" si="9"/>
        <v>0</v>
      </c>
      <c r="M32" s="43">
        <f t="shared" si="9"/>
        <v>0</v>
      </c>
      <c r="N32" s="43">
        <f t="shared" si="9"/>
        <v>0</v>
      </c>
      <c r="O32" s="43">
        <f t="shared" si="9"/>
        <v>0</v>
      </c>
      <c r="P32" s="43">
        <f t="shared" si="9"/>
        <v>0</v>
      </c>
      <c r="Q32" s="43">
        <f t="shared" si="9"/>
        <v>0</v>
      </c>
      <c r="R32" s="43">
        <f t="shared" si="9"/>
        <v>0</v>
      </c>
      <c r="S32" s="43">
        <f t="shared" si="9"/>
        <v>0</v>
      </c>
      <c r="T32" s="43">
        <f t="shared" si="9"/>
        <v>0</v>
      </c>
      <c r="U32" s="43">
        <f t="shared" si="9"/>
        <v>0</v>
      </c>
      <c r="V32" s="43">
        <f t="shared" si="9"/>
        <v>0</v>
      </c>
      <c r="W32" s="43">
        <f t="shared" si="9"/>
        <v>0</v>
      </c>
      <c r="X32" s="43">
        <f t="shared" si="9"/>
        <v>0</v>
      </c>
      <c r="Y32" s="43">
        <f t="shared" si="9"/>
        <v>0</v>
      </c>
      <c r="Z32" s="43">
        <f t="shared" si="9"/>
        <v>0</v>
      </c>
      <c r="AA32" s="43">
        <f t="shared" si="9"/>
        <v>0</v>
      </c>
      <c r="AB32" s="43">
        <f t="shared" si="9"/>
        <v>0</v>
      </c>
      <c r="AC32" s="43">
        <f t="shared" si="9"/>
        <v>0</v>
      </c>
      <c r="AD32" s="43">
        <f t="shared" si="9"/>
        <v>0</v>
      </c>
      <c r="AE32" s="43">
        <f t="shared" si="9"/>
        <v>0</v>
      </c>
      <c r="AF32" s="43">
        <f t="shared" si="9"/>
        <v>0</v>
      </c>
      <c r="AG32" s="44">
        <f t="shared" si="9"/>
        <v>0</v>
      </c>
      <c r="AH32" s="45">
        <f t="shared" si="4"/>
        <v>0</v>
      </c>
    </row>
    <row r="33" spans="1:34" ht="36" customHeight="1">
      <c r="B33" s="111" t="s">
        <v>53</v>
      </c>
      <c r="C33" s="47">
        <f t="shared" ref="C33:AG33" si="10">IF($D$12=6,0,IF($D$12=7,0,(C52+C56)))</f>
        <v>7000</v>
      </c>
      <c r="D33" s="48">
        <f t="shared" si="10"/>
        <v>6650</v>
      </c>
      <c r="E33" s="48">
        <f t="shared" si="10"/>
        <v>6300</v>
      </c>
      <c r="F33" s="48">
        <f t="shared" si="10"/>
        <v>5950</v>
      </c>
      <c r="G33" s="48">
        <f t="shared" si="10"/>
        <v>5600</v>
      </c>
      <c r="H33" s="48">
        <f t="shared" si="10"/>
        <v>5250</v>
      </c>
      <c r="I33" s="48">
        <f t="shared" si="10"/>
        <v>4900</v>
      </c>
      <c r="J33" s="48">
        <f t="shared" si="10"/>
        <v>4550</v>
      </c>
      <c r="K33" s="48">
        <f t="shared" si="10"/>
        <v>4200</v>
      </c>
      <c r="L33" s="48">
        <f t="shared" si="10"/>
        <v>3850</v>
      </c>
      <c r="M33" s="48">
        <f t="shared" si="10"/>
        <v>3500</v>
      </c>
      <c r="N33" s="48">
        <f t="shared" si="10"/>
        <v>3150</v>
      </c>
      <c r="O33" s="48">
        <f t="shared" si="10"/>
        <v>2800</v>
      </c>
      <c r="P33" s="48">
        <f t="shared" si="10"/>
        <v>2450</v>
      </c>
      <c r="Q33" s="48">
        <f t="shared" si="10"/>
        <v>2100</v>
      </c>
      <c r="R33" s="48">
        <f t="shared" si="10"/>
        <v>1750</v>
      </c>
      <c r="S33" s="48">
        <f t="shared" si="10"/>
        <v>1400</v>
      </c>
      <c r="T33" s="48">
        <f t="shared" si="10"/>
        <v>1050</v>
      </c>
      <c r="U33" s="48">
        <f t="shared" si="10"/>
        <v>700</v>
      </c>
      <c r="V33" s="48">
        <f t="shared" si="10"/>
        <v>350</v>
      </c>
      <c r="W33" s="48">
        <f t="shared" si="10"/>
        <v>0</v>
      </c>
      <c r="X33" s="48">
        <f t="shared" si="10"/>
        <v>0</v>
      </c>
      <c r="Y33" s="48">
        <f t="shared" si="10"/>
        <v>0</v>
      </c>
      <c r="Z33" s="48">
        <f t="shared" si="10"/>
        <v>0</v>
      </c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>
        <f t="shared" si="10"/>
        <v>0</v>
      </c>
      <c r="AE33" s="48">
        <f t="shared" si="10"/>
        <v>0</v>
      </c>
      <c r="AF33" s="48">
        <f t="shared" si="10"/>
        <v>0</v>
      </c>
      <c r="AG33" s="49">
        <f t="shared" si="10"/>
        <v>0</v>
      </c>
      <c r="AH33" s="50">
        <f t="shared" si="4"/>
        <v>73500</v>
      </c>
    </row>
    <row r="34" spans="1:34" ht="22.35" customHeight="1">
      <c r="B34" s="51" t="s">
        <v>45</v>
      </c>
      <c r="C34" s="52">
        <f>IF(ISBLANK(D12),"α",IF(D12&lt;=7,ROUND(D8*(1+$E$105)*VLOOKUP(D10,L87:M101,2)/100*VLOOKUP(D12,F17:O23,9)/1000,-1),"α"))</f>
        <v>39970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50">
        <f t="shared" si="4"/>
        <v>39970</v>
      </c>
    </row>
    <row r="35" spans="1:34" ht="25.35" customHeight="1">
      <c r="B35" s="46" t="s">
        <v>22</v>
      </c>
      <c r="C35" s="53">
        <f t="shared" ref="C35:AH35" si="11">SUM(C29:C34)</f>
        <v>156970</v>
      </c>
      <c r="D35" s="54">
        <f t="shared" si="11"/>
        <v>116650</v>
      </c>
      <c r="E35" s="54">
        <f t="shared" si="11"/>
        <v>116300</v>
      </c>
      <c r="F35" s="54">
        <f t="shared" si="11"/>
        <v>115950</v>
      </c>
      <c r="G35" s="54">
        <f t="shared" si="11"/>
        <v>115600</v>
      </c>
      <c r="H35" s="54">
        <f t="shared" si="11"/>
        <v>115250</v>
      </c>
      <c r="I35" s="54">
        <f t="shared" si="11"/>
        <v>114900</v>
      </c>
      <c r="J35" s="54">
        <f t="shared" si="11"/>
        <v>114550</v>
      </c>
      <c r="K35" s="54">
        <f t="shared" si="11"/>
        <v>114200</v>
      </c>
      <c r="L35" s="54">
        <f t="shared" si="11"/>
        <v>113850</v>
      </c>
      <c r="M35" s="54">
        <f t="shared" si="11"/>
        <v>113500</v>
      </c>
      <c r="N35" s="54">
        <f t="shared" si="11"/>
        <v>113150</v>
      </c>
      <c r="O35" s="54">
        <f t="shared" si="11"/>
        <v>112800</v>
      </c>
      <c r="P35" s="54">
        <f t="shared" si="11"/>
        <v>112450</v>
      </c>
      <c r="Q35" s="54">
        <f t="shared" si="11"/>
        <v>112100</v>
      </c>
      <c r="R35" s="54">
        <f t="shared" si="11"/>
        <v>111750</v>
      </c>
      <c r="S35" s="54">
        <f t="shared" si="11"/>
        <v>111400</v>
      </c>
      <c r="T35" s="54">
        <f t="shared" si="11"/>
        <v>111050</v>
      </c>
      <c r="U35" s="54">
        <f t="shared" si="11"/>
        <v>110700</v>
      </c>
      <c r="V35" s="54">
        <f t="shared" si="11"/>
        <v>110350</v>
      </c>
      <c r="W35" s="54">
        <f t="shared" si="11"/>
        <v>0</v>
      </c>
      <c r="X35" s="54">
        <f t="shared" si="11"/>
        <v>0</v>
      </c>
      <c r="Y35" s="54">
        <f t="shared" si="11"/>
        <v>0</v>
      </c>
      <c r="Z35" s="54">
        <f t="shared" si="11"/>
        <v>0</v>
      </c>
      <c r="AA35" s="54">
        <f t="shared" si="11"/>
        <v>0</v>
      </c>
      <c r="AB35" s="54">
        <f t="shared" si="11"/>
        <v>0</v>
      </c>
      <c r="AC35" s="54">
        <f t="shared" si="11"/>
        <v>0</v>
      </c>
      <c r="AD35" s="54">
        <f t="shared" si="11"/>
        <v>0</v>
      </c>
      <c r="AE35" s="54">
        <f t="shared" si="11"/>
        <v>0</v>
      </c>
      <c r="AF35" s="54">
        <f t="shared" si="11"/>
        <v>0</v>
      </c>
      <c r="AG35" s="55">
        <f t="shared" si="11"/>
        <v>0</v>
      </c>
      <c r="AH35" s="50">
        <f t="shared" si="11"/>
        <v>2313470</v>
      </c>
    </row>
    <row r="36" spans="1:34" ht="18.600000000000001" customHeight="1"/>
    <row r="37" spans="1:34" ht="17.649999999999999" customHeight="1">
      <c r="B37" s="56" t="s">
        <v>76</v>
      </c>
      <c r="E37" s="57"/>
      <c r="I37" s="57"/>
      <c r="K37" s="5" t="s">
        <v>49</v>
      </c>
      <c r="R37" s="105" t="str">
        <f>IF($D$10&gt;$G$113,"⇒信用保険契約期限は、 "&amp;$G$113&amp;"年間が限度となります。","")</f>
        <v>⇒信用保険契約期限は、 9年間が限度となります。</v>
      </c>
    </row>
    <row r="38" spans="1:34" s="60" customFormat="1" ht="16.350000000000001" customHeight="1">
      <c r="A38" s="58"/>
      <c r="B38" s="128" t="s">
        <v>57</v>
      </c>
      <c r="C38" s="126">
        <f>INT(D8*(1+$E$105))</f>
        <v>2200000</v>
      </c>
      <c r="D38" s="59">
        <f>IF(AND(D47=0,D58=0),(C38-(C29+C30)),IF(AND(D47=1,D58=1),(C38-(C29+C30)),0))</f>
        <v>2090000</v>
      </c>
      <c r="E38" s="59">
        <f t="shared" ref="E38:U38" si="12">IF(AND(E47=0,E58=0),(D38-(D29+D30)),IF(AND(E47=1,E58=1),(D38-(D29+D30)),0))</f>
        <v>1980000</v>
      </c>
      <c r="F38" s="59">
        <f t="shared" si="12"/>
        <v>1870000</v>
      </c>
      <c r="G38" s="59">
        <f t="shared" si="12"/>
        <v>1760000</v>
      </c>
      <c r="H38" s="59">
        <f t="shared" si="12"/>
        <v>1650000</v>
      </c>
      <c r="I38" s="59">
        <f t="shared" si="12"/>
        <v>1540000</v>
      </c>
      <c r="J38" s="59">
        <f t="shared" si="12"/>
        <v>1430000</v>
      </c>
      <c r="K38" s="59">
        <f t="shared" si="12"/>
        <v>1320000</v>
      </c>
      <c r="L38" s="59">
        <f t="shared" si="12"/>
        <v>1210000</v>
      </c>
      <c r="M38" s="59">
        <f t="shared" si="12"/>
        <v>1100000</v>
      </c>
      <c r="N38" s="59">
        <f t="shared" si="12"/>
        <v>990000</v>
      </c>
      <c r="O38" s="59">
        <f t="shared" si="12"/>
        <v>880000</v>
      </c>
      <c r="P38" s="59">
        <f t="shared" si="12"/>
        <v>770000</v>
      </c>
      <c r="Q38" s="59">
        <f t="shared" si="12"/>
        <v>660000</v>
      </c>
      <c r="R38" s="59">
        <f t="shared" si="12"/>
        <v>550000</v>
      </c>
      <c r="S38" s="59">
        <f t="shared" si="12"/>
        <v>440000</v>
      </c>
      <c r="T38" s="59">
        <f t="shared" si="12"/>
        <v>330000</v>
      </c>
      <c r="U38" s="59">
        <f t="shared" si="12"/>
        <v>0</v>
      </c>
      <c r="V38" s="59">
        <f t="shared" ref="V38:AG38" si="13">IF(V47=1,0,IF(V35=0,0,U38-U29))</f>
        <v>0</v>
      </c>
      <c r="W38" s="59">
        <f t="shared" si="13"/>
        <v>0</v>
      </c>
      <c r="X38" s="59">
        <f t="shared" si="13"/>
        <v>0</v>
      </c>
      <c r="Y38" s="59">
        <f t="shared" si="13"/>
        <v>0</v>
      </c>
      <c r="Z38" s="59">
        <f t="shared" si="13"/>
        <v>0</v>
      </c>
      <c r="AA38" s="59">
        <f t="shared" si="13"/>
        <v>0</v>
      </c>
      <c r="AB38" s="59">
        <f t="shared" si="13"/>
        <v>0</v>
      </c>
      <c r="AC38" s="59">
        <f t="shared" si="13"/>
        <v>0</v>
      </c>
      <c r="AD38" s="59">
        <f t="shared" si="13"/>
        <v>0</v>
      </c>
      <c r="AE38" s="59">
        <f t="shared" si="13"/>
        <v>0</v>
      </c>
      <c r="AF38" s="59">
        <f t="shared" si="13"/>
        <v>0</v>
      </c>
      <c r="AG38" s="135">
        <f t="shared" si="13"/>
        <v>0</v>
      </c>
      <c r="AH38" s="206" t="s">
        <v>34</v>
      </c>
    </row>
    <row r="39" spans="1:34" ht="16.350000000000001" customHeight="1">
      <c r="A39" s="61"/>
      <c r="B39" s="129" t="s">
        <v>58</v>
      </c>
      <c r="C39" s="127">
        <f t="shared" ref="C39:U39" si="14">IF(C38&gt;$F$113,$F$113,C38)</f>
        <v>2200000</v>
      </c>
      <c r="D39" s="62">
        <f t="shared" si="14"/>
        <v>2090000</v>
      </c>
      <c r="E39" s="62">
        <f t="shared" si="14"/>
        <v>1980000</v>
      </c>
      <c r="F39" s="62">
        <f t="shared" si="14"/>
        <v>1870000</v>
      </c>
      <c r="G39" s="62">
        <f t="shared" si="14"/>
        <v>1760000</v>
      </c>
      <c r="H39" s="62">
        <f t="shared" si="14"/>
        <v>1650000</v>
      </c>
      <c r="I39" s="62">
        <f t="shared" si="14"/>
        <v>1540000</v>
      </c>
      <c r="J39" s="62">
        <f t="shared" si="14"/>
        <v>1430000</v>
      </c>
      <c r="K39" s="62">
        <f t="shared" si="14"/>
        <v>1320000</v>
      </c>
      <c r="L39" s="62">
        <f t="shared" si="14"/>
        <v>1210000</v>
      </c>
      <c r="M39" s="62">
        <f t="shared" si="14"/>
        <v>1100000</v>
      </c>
      <c r="N39" s="62">
        <f t="shared" si="14"/>
        <v>990000</v>
      </c>
      <c r="O39" s="62">
        <f t="shared" si="14"/>
        <v>880000</v>
      </c>
      <c r="P39" s="62">
        <f t="shared" si="14"/>
        <v>770000</v>
      </c>
      <c r="Q39" s="62">
        <f t="shared" si="14"/>
        <v>660000</v>
      </c>
      <c r="R39" s="63">
        <f t="shared" si="14"/>
        <v>550000</v>
      </c>
      <c r="S39" s="63">
        <f t="shared" si="14"/>
        <v>440000</v>
      </c>
      <c r="T39" s="63">
        <f t="shared" si="14"/>
        <v>330000</v>
      </c>
      <c r="U39" s="63">
        <f t="shared" si="14"/>
        <v>0</v>
      </c>
      <c r="V39" s="63"/>
      <c r="W39" s="63"/>
      <c r="X39" s="63"/>
      <c r="Y39" s="63"/>
      <c r="Z39" s="63"/>
      <c r="AA39" s="63"/>
      <c r="AB39" s="63"/>
      <c r="AC39" s="63"/>
      <c r="AD39" s="63"/>
      <c r="AE39" s="64"/>
      <c r="AF39" s="64"/>
      <c r="AG39" s="136"/>
      <c r="AH39" s="207"/>
    </row>
    <row r="40" spans="1:34" s="161" customFormat="1" ht="16.350000000000001" customHeight="1">
      <c r="A40" s="162"/>
      <c r="B40" s="163" t="s">
        <v>47</v>
      </c>
      <c r="C40" s="146">
        <f>INT(ROUNDDOWN((ROUNDDOWN(C39*0.0048/12,2))*6,0)*$D$64)</f>
        <v>5280</v>
      </c>
      <c r="D40" s="164">
        <f t="shared" ref="D40:U40" si="15">INT(ROUNDDOWN((ROUNDDOWN(D39*0.0048/12,2))*6,0)*$D$64)</f>
        <v>5016</v>
      </c>
      <c r="E40" s="164">
        <f t="shared" si="15"/>
        <v>4752</v>
      </c>
      <c r="F40" s="164">
        <f t="shared" si="15"/>
        <v>4488</v>
      </c>
      <c r="G40" s="164">
        <f t="shared" si="15"/>
        <v>4224</v>
      </c>
      <c r="H40" s="164">
        <f t="shared" si="15"/>
        <v>3960</v>
      </c>
      <c r="I40" s="164">
        <f t="shared" si="15"/>
        <v>3696</v>
      </c>
      <c r="J40" s="164">
        <f t="shared" si="15"/>
        <v>3432</v>
      </c>
      <c r="K40" s="164">
        <f t="shared" si="15"/>
        <v>3168</v>
      </c>
      <c r="L40" s="164">
        <f t="shared" si="15"/>
        <v>2904</v>
      </c>
      <c r="M40" s="164">
        <f t="shared" si="15"/>
        <v>2640</v>
      </c>
      <c r="N40" s="164">
        <f t="shared" si="15"/>
        <v>2376</v>
      </c>
      <c r="O40" s="164">
        <f t="shared" si="15"/>
        <v>2112</v>
      </c>
      <c r="P40" s="164">
        <f t="shared" si="15"/>
        <v>1848</v>
      </c>
      <c r="Q40" s="164">
        <f t="shared" si="15"/>
        <v>1584</v>
      </c>
      <c r="R40" s="164">
        <f t="shared" si="15"/>
        <v>1320</v>
      </c>
      <c r="S40" s="164">
        <f t="shared" si="15"/>
        <v>1056</v>
      </c>
      <c r="T40" s="164">
        <f t="shared" si="15"/>
        <v>792</v>
      </c>
      <c r="U40" s="164">
        <f t="shared" si="15"/>
        <v>0</v>
      </c>
      <c r="V40" s="165" t="str">
        <f>IF($D$10&gt;$G$113,"⇒信用保険契約期限は、 "&amp;G113&amp;"年間が限度となります。","")</f>
        <v>⇒信用保険契約期限は、 9年間が限度となります。</v>
      </c>
      <c r="W40" s="166"/>
      <c r="X40" s="167"/>
      <c r="Y40" s="164"/>
      <c r="Z40" s="164"/>
      <c r="AA40" s="164"/>
      <c r="AB40" s="164"/>
      <c r="AC40" s="164"/>
      <c r="AD40" s="168"/>
      <c r="AE40" s="169"/>
      <c r="AF40" s="169"/>
      <c r="AG40" s="170"/>
      <c r="AH40" s="171">
        <f>SUM(C40:W40)</f>
        <v>54648</v>
      </c>
    </row>
    <row r="41" spans="1:34" ht="24">
      <c r="A41" s="61"/>
      <c r="B41" s="124" t="s">
        <v>59</v>
      </c>
      <c r="C41" s="131">
        <f t="shared" ref="C41:U41" si="16">IF(C38*0.95&gt;$F$113,$F$113,ROUND(C38*0.95,0))</f>
        <v>2090000</v>
      </c>
      <c r="D41" s="132">
        <f t="shared" si="16"/>
        <v>1985500</v>
      </c>
      <c r="E41" s="132">
        <f t="shared" si="16"/>
        <v>1881000</v>
      </c>
      <c r="F41" s="132">
        <f t="shared" si="16"/>
        <v>1776500</v>
      </c>
      <c r="G41" s="132">
        <f t="shared" si="16"/>
        <v>1672000</v>
      </c>
      <c r="H41" s="132">
        <f t="shared" si="16"/>
        <v>1567500</v>
      </c>
      <c r="I41" s="132">
        <f t="shared" si="16"/>
        <v>1463000</v>
      </c>
      <c r="J41" s="132">
        <f t="shared" si="16"/>
        <v>1358500</v>
      </c>
      <c r="K41" s="132">
        <f t="shared" si="16"/>
        <v>1254000</v>
      </c>
      <c r="L41" s="132">
        <f t="shared" si="16"/>
        <v>1149500</v>
      </c>
      <c r="M41" s="132">
        <f t="shared" si="16"/>
        <v>1045000</v>
      </c>
      <c r="N41" s="132">
        <f t="shared" si="16"/>
        <v>940500</v>
      </c>
      <c r="O41" s="132">
        <f t="shared" si="16"/>
        <v>836000</v>
      </c>
      <c r="P41" s="132">
        <f t="shared" si="16"/>
        <v>731500</v>
      </c>
      <c r="Q41" s="132">
        <f t="shared" si="16"/>
        <v>627000</v>
      </c>
      <c r="R41" s="132">
        <f t="shared" si="16"/>
        <v>522500</v>
      </c>
      <c r="S41" s="132">
        <f t="shared" si="16"/>
        <v>418000</v>
      </c>
      <c r="T41" s="132">
        <f t="shared" si="16"/>
        <v>313500</v>
      </c>
      <c r="U41" s="132">
        <f t="shared" si="16"/>
        <v>0</v>
      </c>
      <c r="V41" s="132">
        <f t="shared" ref="V41:AG41" si="17">IF(V38*0.9&gt;$F$113,$F$113,V38*0.9)</f>
        <v>0</v>
      </c>
      <c r="W41" s="132">
        <f t="shared" si="17"/>
        <v>0</v>
      </c>
      <c r="X41" s="132">
        <f t="shared" si="17"/>
        <v>0</v>
      </c>
      <c r="Y41" s="132">
        <f t="shared" si="17"/>
        <v>0</v>
      </c>
      <c r="Z41" s="132">
        <f t="shared" si="17"/>
        <v>0</v>
      </c>
      <c r="AA41" s="132">
        <f t="shared" si="17"/>
        <v>0</v>
      </c>
      <c r="AB41" s="132">
        <f t="shared" si="17"/>
        <v>0</v>
      </c>
      <c r="AC41" s="132">
        <f t="shared" si="17"/>
        <v>0</v>
      </c>
      <c r="AD41" s="133">
        <f t="shared" si="17"/>
        <v>0</v>
      </c>
      <c r="AE41" s="134">
        <f t="shared" si="17"/>
        <v>0</v>
      </c>
      <c r="AF41" s="134">
        <f t="shared" si="17"/>
        <v>0</v>
      </c>
      <c r="AG41" s="137">
        <f t="shared" si="17"/>
        <v>0</v>
      </c>
      <c r="AH41" s="50"/>
    </row>
    <row r="42" spans="1:34" ht="14.25" hidden="1" thickBot="1"/>
    <row r="43" spans="1:34" ht="18" hidden="1" thickBot="1">
      <c r="A43" s="65"/>
      <c r="B43" s="66" t="s">
        <v>48</v>
      </c>
      <c r="C43" s="67">
        <f>K105</f>
        <v>7.0000000000000001E-3</v>
      </c>
    </row>
    <row r="44" spans="1:34" ht="14.25" hidden="1" thickBot="1">
      <c r="A44" s="68">
        <f>MONTH(D11)</f>
        <v>10</v>
      </c>
      <c r="B44" s="5" t="s">
        <v>0</v>
      </c>
    </row>
    <row r="45" spans="1:34" hidden="1"/>
    <row r="46" spans="1:34" hidden="1">
      <c r="B46" s="5" t="s">
        <v>27</v>
      </c>
      <c r="C46" s="5">
        <v>1</v>
      </c>
      <c r="D46" s="5">
        <v>2</v>
      </c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  <c r="N46" s="5">
        <v>12</v>
      </c>
      <c r="O46" s="5">
        <v>13</v>
      </c>
      <c r="P46" s="5">
        <v>14</v>
      </c>
      <c r="Q46" s="5">
        <v>15</v>
      </c>
      <c r="R46" s="5">
        <v>16</v>
      </c>
      <c r="S46" s="5">
        <v>17</v>
      </c>
      <c r="T46" s="5">
        <v>18</v>
      </c>
      <c r="U46" s="5">
        <v>19</v>
      </c>
      <c r="V46" s="5">
        <v>20</v>
      </c>
      <c r="W46" s="5">
        <v>21</v>
      </c>
      <c r="X46" s="5">
        <v>22</v>
      </c>
      <c r="Y46" s="5">
        <v>23</v>
      </c>
      <c r="Z46" s="5">
        <v>24</v>
      </c>
      <c r="AA46" s="5">
        <v>25</v>
      </c>
      <c r="AB46" s="5">
        <v>26</v>
      </c>
      <c r="AC46" s="5">
        <v>27</v>
      </c>
      <c r="AD46" s="5">
        <v>28</v>
      </c>
      <c r="AE46" s="5">
        <v>29</v>
      </c>
      <c r="AF46" s="5">
        <v>30</v>
      </c>
      <c r="AG46" s="5">
        <v>31</v>
      </c>
    </row>
    <row r="47" spans="1:34" s="161" customFormat="1" hidden="1">
      <c r="B47" s="161" t="s">
        <v>64</v>
      </c>
      <c r="C47" s="161">
        <f>IF((IF($D$10&gt;$G$113,$G$113,$D$10)*2)&lt;C46,1,0)</f>
        <v>0</v>
      </c>
      <c r="D47" s="161">
        <f t="shared" ref="D47:AG47" si="18">IF((IF($D$10&gt;$G$113,$G$113,$D$10)*2)&lt;D46,1,0)</f>
        <v>0</v>
      </c>
      <c r="E47" s="161">
        <f t="shared" si="18"/>
        <v>0</v>
      </c>
      <c r="F47" s="161">
        <f t="shared" si="18"/>
        <v>0</v>
      </c>
      <c r="G47" s="161">
        <f t="shared" si="18"/>
        <v>0</v>
      </c>
      <c r="H47" s="161">
        <f t="shared" si="18"/>
        <v>0</v>
      </c>
      <c r="I47" s="161">
        <f t="shared" si="18"/>
        <v>0</v>
      </c>
      <c r="J47" s="161">
        <f t="shared" si="18"/>
        <v>0</v>
      </c>
      <c r="K47" s="161">
        <f t="shared" si="18"/>
        <v>0</v>
      </c>
      <c r="L47" s="161">
        <f t="shared" si="18"/>
        <v>0</v>
      </c>
      <c r="M47" s="161">
        <f t="shared" si="18"/>
        <v>0</v>
      </c>
      <c r="N47" s="161">
        <f t="shared" si="18"/>
        <v>0</v>
      </c>
      <c r="O47" s="161">
        <f t="shared" si="18"/>
        <v>0</v>
      </c>
      <c r="P47" s="161">
        <f t="shared" si="18"/>
        <v>0</v>
      </c>
      <c r="Q47" s="161">
        <f t="shared" si="18"/>
        <v>0</v>
      </c>
      <c r="R47" s="161">
        <f t="shared" si="18"/>
        <v>0</v>
      </c>
      <c r="S47" s="161">
        <f t="shared" si="18"/>
        <v>0</v>
      </c>
      <c r="T47" s="161">
        <f t="shared" si="18"/>
        <v>0</v>
      </c>
      <c r="U47" s="161">
        <f t="shared" si="18"/>
        <v>1</v>
      </c>
      <c r="V47" s="161">
        <f t="shared" si="18"/>
        <v>1</v>
      </c>
      <c r="W47" s="161">
        <f t="shared" si="18"/>
        <v>1</v>
      </c>
      <c r="X47" s="161">
        <f t="shared" si="18"/>
        <v>1</v>
      </c>
      <c r="Y47" s="161">
        <f t="shared" si="18"/>
        <v>1</v>
      </c>
      <c r="Z47" s="161">
        <f t="shared" si="18"/>
        <v>1</v>
      </c>
      <c r="AA47" s="161">
        <f t="shared" si="18"/>
        <v>1</v>
      </c>
      <c r="AB47" s="161">
        <f t="shared" si="18"/>
        <v>1</v>
      </c>
      <c r="AC47" s="161">
        <f t="shared" si="18"/>
        <v>1</v>
      </c>
      <c r="AD47" s="161">
        <f t="shared" si="18"/>
        <v>1</v>
      </c>
      <c r="AE47" s="161">
        <f t="shared" si="18"/>
        <v>1</v>
      </c>
      <c r="AF47" s="161">
        <f t="shared" si="18"/>
        <v>1</v>
      </c>
      <c r="AG47" s="161">
        <f t="shared" si="18"/>
        <v>1</v>
      </c>
      <c r="AH47" s="161" t="s">
        <v>38</v>
      </c>
    </row>
    <row r="48" spans="1:34" hidden="1">
      <c r="B48" s="5" t="s">
        <v>60</v>
      </c>
      <c r="F48" s="69">
        <f t="shared" ref="F48:AG48" si="19">IF($D$10*2&lt;F46,1,0)</f>
        <v>0</v>
      </c>
      <c r="G48" s="69">
        <f t="shared" si="19"/>
        <v>0</v>
      </c>
      <c r="H48" s="69">
        <f t="shared" si="19"/>
        <v>0</v>
      </c>
      <c r="I48" s="69">
        <f t="shared" si="19"/>
        <v>0</v>
      </c>
      <c r="J48" s="69">
        <f t="shared" si="19"/>
        <v>0</v>
      </c>
      <c r="K48" s="69">
        <f t="shared" si="19"/>
        <v>0</v>
      </c>
      <c r="L48" s="69">
        <f t="shared" si="19"/>
        <v>0</v>
      </c>
      <c r="M48" s="69">
        <f t="shared" si="19"/>
        <v>0</v>
      </c>
      <c r="N48" s="69">
        <f t="shared" si="19"/>
        <v>0</v>
      </c>
      <c r="O48" s="69">
        <f t="shared" si="19"/>
        <v>0</v>
      </c>
      <c r="P48" s="69">
        <f t="shared" si="19"/>
        <v>0</v>
      </c>
      <c r="Q48" s="69">
        <f t="shared" si="19"/>
        <v>0</v>
      </c>
      <c r="R48" s="69">
        <f t="shared" si="19"/>
        <v>0</v>
      </c>
      <c r="S48" s="69">
        <f t="shared" si="19"/>
        <v>0</v>
      </c>
      <c r="T48" s="69">
        <f t="shared" si="19"/>
        <v>0</v>
      </c>
      <c r="U48" s="69">
        <f t="shared" si="19"/>
        <v>0</v>
      </c>
      <c r="V48" s="69">
        <f t="shared" si="19"/>
        <v>0</v>
      </c>
      <c r="W48" s="69">
        <f t="shared" si="19"/>
        <v>1</v>
      </c>
      <c r="X48" s="69">
        <f t="shared" si="19"/>
        <v>1</v>
      </c>
      <c r="Y48" s="69">
        <f t="shared" si="19"/>
        <v>1</v>
      </c>
      <c r="Z48" s="69">
        <f t="shared" si="19"/>
        <v>1</v>
      </c>
      <c r="AA48" s="69">
        <f t="shared" si="19"/>
        <v>1</v>
      </c>
      <c r="AB48" s="69">
        <f t="shared" si="19"/>
        <v>1</v>
      </c>
      <c r="AC48" s="69">
        <f t="shared" si="19"/>
        <v>1</v>
      </c>
      <c r="AD48" s="69">
        <f t="shared" si="19"/>
        <v>1</v>
      </c>
      <c r="AE48" s="69">
        <f t="shared" si="19"/>
        <v>1</v>
      </c>
      <c r="AF48" s="69">
        <f t="shared" si="19"/>
        <v>1</v>
      </c>
      <c r="AG48" s="69">
        <f t="shared" si="19"/>
        <v>1</v>
      </c>
      <c r="AH48" s="5" t="s">
        <v>38</v>
      </c>
    </row>
    <row r="49" spans="1:34" hidden="1">
      <c r="A49" s="70" t="s">
        <v>26</v>
      </c>
      <c r="B49" s="71" t="s">
        <v>23</v>
      </c>
      <c r="C49" s="71"/>
      <c r="D49" s="71">
        <f>IF(D48=1,0,SUM($C$50:C50))</f>
        <v>100000</v>
      </c>
      <c r="E49" s="71">
        <f>IF(E48=1,0,SUM($C$50:D50))</f>
        <v>200000</v>
      </c>
      <c r="F49" s="71">
        <f>IF(F48=1,0,SUM($C$50:E50))</f>
        <v>300000</v>
      </c>
      <c r="G49" s="71">
        <f>IF(G48=1,0,SUM($C$50:F50))</f>
        <v>400000</v>
      </c>
      <c r="H49" s="71">
        <f>IF(H48=1,0,SUM($C$50:G50))</f>
        <v>500000</v>
      </c>
      <c r="I49" s="71">
        <f>IF(I48=1,0,SUM($C$50:H50))</f>
        <v>600000</v>
      </c>
      <c r="J49" s="71">
        <f>IF(J48=1,0,SUM($C$50:I50))</f>
        <v>700000</v>
      </c>
      <c r="K49" s="71">
        <f>IF(K48=1,0,SUM($C$50:J50))</f>
        <v>800000</v>
      </c>
      <c r="L49" s="71">
        <f>IF(L48=1,0,SUM($C$50:K50))</f>
        <v>900000</v>
      </c>
      <c r="M49" s="71">
        <f>IF(M48=1,0,SUM($C$50:L50))</f>
        <v>1000000</v>
      </c>
      <c r="N49" s="71">
        <f>IF(N48=1,0,SUM($C$50:M50))</f>
        <v>1100000</v>
      </c>
      <c r="O49" s="71">
        <f>IF(O48=1,0,SUM($C$50:N50))</f>
        <v>1200000</v>
      </c>
      <c r="P49" s="71">
        <f>IF(P48=1,0,SUM($C$50:O50))</f>
        <v>1300000</v>
      </c>
      <c r="Q49" s="71">
        <f>IF(Q48=1,0,SUM($C$50:P50))</f>
        <v>1400000</v>
      </c>
      <c r="R49" s="71">
        <f>IF(R48=1,0,SUM($C$50:Q50))</f>
        <v>1500000</v>
      </c>
      <c r="S49" s="71">
        <f>IF(S48=1,0,SUM($C$50:R50))</f>
        <v>1600000</v>
      </c>
      <c r="T49" s="71">
        <f>IF(T48=1,0,SUM($C$50:S50))</f>
        <v>1700000</v>
      </c>
      <c r="U49" s="71">
        <f>IF(U48=1,0,SUM($C$50:T50))</f>
        <v>1800000</v>
      </c>
      <c r="V49" s="71">
        <f>IF(V48=1,0,SUM($C$50:U50))</f>
        <v>1900000</v>
      </c>
      <c r="W49" s="71">
        <f>IF(W48=1,0,SUM($C$50:V50))</f>
        <v>0</v>
      </c>
      <c r="X49" s="71">
        <f>IF(X48=1,0,SUM($C$50:W50))</f>
        <v>0</v>
      </c>
      <c r="Y49" s="71">
        <f>IF(Y48=1,0,SUM($C$50:X50))</f>
        <v>0</v>
      </c>
      <c r="Z49" s="71">
        <f>IF(Z48=1,0,SUM($C$50:Y50))</f>
        <v>0</v>
      </c>
      <c r="AA49" s="71">
        <f>IF(AA48=1,0,SUM($C$50:Z50))</f>
        <v>0</v>
      </c>
      <c r="AB49" s="71">
        <f>IF(AB48=1,0,SUM($C$50:AA50))</f>
        <v>0</v>
      </c>
      <c r="AC49" s="71">
        <f>IF(AC48=1,0,SUM($C$50:AB50))</f>
        <v>0</v>
      </c>
      <c r="AD49" s="71">
        <f>IF(AD48=1,0,SUM($C$50:AC50))</f>
        <v>0</v>
      </c>
      <c r="AE49" s="71">
        <f>IF(AE48=1,0,SUM($C$50:AD50))</f>
        <v>0</v>
      </c>
      <c r="AF49" s="71">
        <f>IF(AF48=1,0,SUM($C$50:AE50))</f>
        <v>0</v>
      </c>
      <c r="AG49" s="71">
        <f>IF(AG48=1,0,SUM($C$50:AF50))</f>
        <v>0</v>
      </c>
      <c r="AH49" s="5" t="s">
        <v>23</v>
      </c>
    </row>
    <row r="50" spans="1:34" hidden="1">
      <c r="A50" s="182">
        <f>INT(D8*F9)</f>
        <v>0</v>
      </c>
      <c r="B50" s="71" t="s">
        <v>28</v>
      </c>
      <c r="C50" s="72">
        <f>D8-(SUM(D50:AG50)+SUM(H54:AG54)+A50)</f>
        <v>100000</v>
      </c>
      <c r="D50" s="72">
        <f>INT(D8*(1-$F$9)/(D10*2))</f>
        <v>100000</v>
      </c>
      <c r="E50" s="72">
        <f>D50</f>
        <v>100000</v>
      </c>
      <c r="F50" s="72">
        <f>E50</f>
        <v>100000</v>
      </c>
      <c r="G50" s="72">
        <f>F50</f>
        <v>100000</v>
      </c>
      <c r="H50" s="72">
        <f>G50</f>
        <v>100000</v>
      </c>
      <c r="I50" s="72">
        <f t="shared" ref="I50:AG50" si="20">IF(I48=1,0,H50)</f>
        <v>100000</v>
      </c>
      <c r="J50" s="72">
        <f t="shared" si="20"/>
        <v>100000</v>
      </c>
      <c r="K50" s="72">
        <f t="shared" si="20"/>
        <v>100000</v>
      </c>
      <c r="L50" s="72">
        <f t="shared" si="20"/>
        <v>100000</v>
      </c>
      <c r="M50" s="72">
        <f t="shared" si="20"/>
        <v>100000</v>
      </c>
      <c r="N50" s="72">
        <f t="shared" si="20"/>
        <v>100000</v>
      </c>
      <c r="O50" s="72">
        <f t="shared" si="20"/>
        <v>100000</v>
      </c>
      <c r="P50" s="72">
        <f t="shared" si="20"/>
        <v>100000</v>
      </c>
      <c r="Q50" s="72">
        <f t="shared" si="20"/>
        <v>100000</v>
      </c>
      <c r="R50" s="72">
        <f t="shared" ref="R50:AD50" si="21">IF(R48=1,0,Q50)</f>
        <v>100000</v>
      </c>
      <c r="S50" s="72">
        <f t="shared" si="21"/>
        <v>100000</v>
      </c>
      <c r="T50" s="72">
        <f t="shared" si="21"/>
        <v>100000</v>
      </c>
      <c r="U50" s="72">
        <f t="shared" si="21"/>
        <v>100000</v>
      </c>
      <c r="V50" s="72">
        <f t="shared" si="21"/>
        <v>100000</v>
      </c>
      <c r="W50" s="72">
        <f t="shared" si="21"/>
        <v>0</v>
      </c>
      <c r="X50" s="72">
        <f t="shared" si="21"/>
        <v>0</v>
      </c>
      <c r="Y50" s="72">
        <f t="shared" si="21"/>
        <v>0</v>
      </c>
      <c r="Z50" s="72">
        <f t="shared" si="21"/>
        <v>0</v>
      </c>
      <c r="AA50" s="72">
        <f t="shared" si="21"/>
        <v>0</v>
      </c>
      <c r="AB50" s="72">
        <f t="shared" si="21"/>
        <v>0</v>
      </c>
      <c r="AC50" s="72">
        <f t="shared" si="21"/>
        <v>0</v>
      </c>
      <c r="AD50" s="72">
        <f t="shared" si="21"/>
        <v>0</v>
      </c>
      <c r="AE50" s="72">
        <f t="shared" si="20"/>
        <v>0</v>
      </c>
      <c r="AF50" s="72">
        <f t="shared" si="20"/>
        <v>0</v>
      </c>
      <c r="AG50" s="72">
        <f t="shared" si="20"/>
        <v>0</v>
      </c>
      <c r="AH50" s="5" t="s">
        <v>37</v>
      </c>
    </row>
    <row r="51" spans="1:34" hidden="1">
      <c r="B51" s="71" t="s">
        <v>24</v>
      </c>
      <c r="C51" s="72">
        <f>INT((D8-A50)*E105)-SUM(D51:AF51)-SUM(H55:AG55)</f>
        <v>10000</v>
      </c>
      <c r="D51" s="139">
        <f>INT(D50*$E$105)</f>
        <v>10000</v>
      </c>
      <c r="E51" s="72">
        <f t="shared" ref="E51:AG51" si="22">INT(E50*$E$105)</f>
        <v>10000</v>
      </c>
      <c r="F51" s="72">
        <f t="shared" si="22"/>
        <v>10000</v>
      </c>
      <c r="G51" s="72">
        <f t="shared" si="22"/>
        <v>10000</v>
      </c>
      <c r="H51" s="72">
        <f t="shared" si="22"/>
        <v>10000</v>
      </c>
      <c r="I51" s="72">
        <f t="shared" si="22"/>
        <v>10000</v>
      </c>
      <c r="J51" s="72">
        <f t="shared" si="22"/>
        <v>10000</v>
      </c>
      <c r="K51" s="72">
        <f t="shared" si="22"/>
        <v>10000</v>
      </c>
      <c r="L51" s="72">
        <f t="shared" si="22"/>
        <v>10000</v>
      </c>
      <c r="M51" s="72">
        <f t="shared" si="22"/>
        <v>10000</v>
      </c>
      <c r="N51" s="72">
        <f t="shared" si="22"/>
        <v>10000</v>
      </c>
      <c r="O51" s="72">
        <f t="shared" si="22"/>
        <v>10000</v>
      </c>
      <c r="P51" s="72">
        <f t="shared" si="22"/>
        <v>10000</v>
      </c>
      <c r="Q51" s="72">
        <f t="shared" si="22"/>
        <v>10000</v>
      </c>
      <c r="R51" s="72">
        <f t="shared" si="22"/>
        <v>10000</v>
      </c>
      <c r="S51" s="72">
        <f t="shared" si="22"/>
        <v>10000</v>
      </c>
      <c r="T51" s="72">
        <f t="shared" si="22"/>
        <v>10000</v>
      </c>
      <c r="U51" s="72">
        <f t="shared" si="22"/>
        <v>10000</v>
      </c>
      <c r="V51" s="72">
        <f t="shared" si="22"/>
        <v>10000</v>
      </c>
      <c r="W51" s="72">
        <f t="shared" si="22"/>
        <v>0</v>
      </c>
      <c r="X51" s="72">
        <f t="shared" si="22"/>
        <v>0</v>
      </c>
      <c r="Y51" s="72">
        <f t="shared" si="22"/>
        <v>0</v>
      </c>
      <c r="Z51" s="72">
        <f t="shared" si="22"/>
        <v>0</v>
      </c>
      <c r="AA51" s="72">
        <f t="shared" si="22"/>
        <v>0</v>
      </c>
      <c r="AB51" s="72">
        <f t="shared" si="22"/>
        <v>0</v>
      </c>
      <c r="AC51" s="72">
        <f t="shared" si="22"/>
        <v>0</v>
      </c>
      <c r="AD51" s="72">
        <f t="shared" si="22"/>
        <v>0</v>
      </c>
      <c r="AE51" s="72">
        <f t="shared" si="22"/>
        <v>0</v>
      </c>
      <c r="AF51" s="72">
        <f t="shared" si="22"/>
        <v>0</v>
      </c>
      <c r="AG51" s="72">
        <f t="shared" si="22"/>
        <v>0</v>
      </c>
      <c r="AH51" s="5" t="s">
        <v>36</v>
      </c>
    </row>
    <row r="52" spans="1:34" hidden="1">
      <c r="B52" s="71" t="s">
        <v>25</v>
      </c>
      <c r="C52" s="72">
        <f>INT(D8*(C43)/2*D64)</f>
        <v>7000</v>
      </c>
      <c r="D52" s="72">
        <f>INT(($D$8-D49)*($C$43)/2)</f>
        <v>6650</v>
      </c>
      <c r="E52" s="72">
        <f>INT(($D$8-E49)*($C$43)/2)</f>
        <v>6300</v>
      </c>
      <c r="F52" s="72">
        <f t="shared" ref="F52:AG52" si="23">INT(IF(F48=1,0,($D$8-F49)*($C$43)/2))</f>
        <v>5950</v>
      </c>
      <c r="G52" s="72">
        <f t="shared" si="23"/>
        <v>5600</v>
      </c>
      <c r="H52" s="72">
        <f t="shared" si="23"/>
        <v>5250</v>
      </c>
      <c r="I52" s="72">
        <f t="shared" si="23"/>
        <v>4900</v>
      </c>
      <c r="J52" s="72">
        <f t="shared" si="23"/>
        <v>4550</v>
      </c>
      <c r="K52" s="72">
        <f t="shared" si="23"/>
        <v>4200</v>
      </c>
      <c r="L52" s="72">
        <f t="shared" si="23"/>
        <v>3850</v>
      </c>
      <c r="M52" s="72">
        <f t="shared" si="23"/>
        <v>3500</v>
      </c>
      <c r="N52" s="72">
        <f t="shared" si="23"/>
        <v>3150</v>
      </c>
      <c r="O52" s="72">
        <f t="shared" si="23"/>
        <v>2800</v>
      </c>
      <c r="P52" s="72">
        <f t="shared" si="23"/>
        <v>2450</v>
      </c>
      <c r="Q52" s="72">
        <f t="shared" si="23"/>
        <v>2100</v>
      </c>
      <c r="R52" s="72">
        <f t="shared" si="23"/>
        <v>1750</v>
      </c>
      <c r="S52" s="72">
        <f t="shared" si="23"/>
        <v>1400</v>
      </c>
      <c r="T52" s="72">
        <f t="shared" si="23"/>
        <v>1050</v>
      </c>
      <c r="U52" s="72">
        <f t="shared" si="23"/>
        <v>700</v>
      </c>
      <c r="V52" s="72">
        <f t="shared" si="23"/>
        <v>350</v>
      </c>
      <c r="W52" s="72">
        <f t="shared" si="23"/>
        <v>0</v>
      </c>
      <c r="X52" s="72">
        <f t="shared" si="23"/>
        <v>0</v>
      </c>
      <c r="Y52" s="72">
        <f t="shared" si="23"/>
        <v>0</v>
      </c>
      <c r="Z52" s="72">
        <f t="shared" si="23"/>
        <v>0</v>
      </c>
      <c r="AA52" s="72">
        <f t="shared" si="23"/>
        <v>0</v>
      </c>
      <c r="AB52" s="72">
        <f t="shared" si="23"/>
        <v>0</v>
      </c>
      <c r="AC52" s="72">
        <f t="shared" si="23"/>
        <v>0</v>
      </c>
      <c r="AD52" s="72">
        <f t="shared" si="23"/>
        <v>0</v>
      </c>
      <c r="AE52" s="140">
        <f t="shared" si="23"/>
        <v>0</v>
      </c>
      <c r="AF52" s="72">
        <f t="shared" si="23"/>
        <v>0</v>
      </c>
      <c r="AG52" s="72">
        <f t="shared" si="23"/>
        <v>0</v>
      </c>
      <c r="AH52" s="5" t="s">
        <v>25</v>
      </c>
    </row>
    <row r="53" spans="1:34" hidden="1"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4"/>
      <c r="AF53" s="153"/>
      <c r="AG53" s="153"/>
    </row>
    <row r="54" spans="1:34" hidden="1">
      <c r="A54" s="73"/>
      <c r="B54" s="71" t="s">
        <v>35</v>
      </c>
      <c r="C54" s="74"/>
      <c r="D54" s="74"/>
      <c r="E54" s="74"/>
      <c r="F54" s="74"/>
      <c r="G54" s="151">
        <f t="shared" ref="G54:AG54" si="24">INT(G59*$E$64*F50)</f>
        <v>0</v>
      </c>
      <c r="H54" s="151">
        <f t="shared" si="24"/>
        <v>0</v>
      </c>
      <c r="I54" s="151">
        <f t="shared" si="24"/>
        <v>0</v>
      </c>
      <c r="J54" s="151">
        <f t="shared" si="24"/>
        <v>0</v>
      </c>
      <c r="K54" s="151">
        <f t="shared" si="24"/>
        <v>0</v>
      </c>
      <c r="L54" s="151">
        <f t="shared" si="24"/>
        <v>0</v>
      </c>
      <c r="M54" s="151">
        <f t="shared" si="24"/>
        <v>0</v>
      </c>
      <c r="N54" s="151">
        <f t="shared" si="24"/>
        <v>0</v>
      </c>
      <c r="O54" s="151">
        <f t="shared" si="24"/>
        <v>0</v>
      </c>
      <c r="P54" s="151">
        <f t="shared" si="24"/>
        <v>0</v>
      </c>
      <c r="Q54" s="151">
        <f t="shared" si="24"/>
        <v>0</v>
      </c>
      <c r="R54" s="151">
        <f t="shared" si="24"/>
        <v>0</v>
      </c>
      <c r="S54" s="151">
        <f t="shared" si="24"/>
        <v>0</v>
      </c>
      <c r="T54" s="151">
        <f t="shared" si="24"/>
        <v>0</v>
      </c>
      <c r="U54" s="151">
        <f t="shared" si="24"/>
        <v>0</v>
      </c>
      <c r="V54" s="151">
        <f t="shared" si="24"/>
        <v>0</v>
      </c>
      <c r="W54" s="151">
        <f t="shared" si="24"/>
        <v>0</v>
      </c>
      <c r="X54" s="151">
        <f t="shared" si="24"/>
        <v>0</v>
      </c>
      <c r="Y54" s="151">
        <f t="shared" si="24"/>
        <v>0</v>
      </c>
      <c r="Z54" s="151">
        <f t="shared" si="24"/>
        <v>0</v>
      </c>
      <c r="AA54" s="151">
        <f t="shared" si="24"/>
        <v>0</v>
      </c>
      <c r="AB54" s="151">
        <f t="shared" si="24"/>
        <v>0</v>
      </c>
      <c r="AC54" s="151">
        <f t="shared" si="24"/>
        <v>0</v>
      </c>
      <c r="AD54" s="151">
        <f t="shared" si="24"/>
        <v>0</v>
      </c>
      <c r="AE54" s="151">
        <f t="shared" si="24"/>
        <v>0</v>
      </c>
      <c r="AF54" s="151">
        <f t="shared" si="24"/>
        <v>0</v>
      </c>
      <c r="AG54" s="151">
        <f t="shared" si="24"/>
        <v>0</v>
      </c>
      <c r="AH54" s="5" t="s">
        <v>35</v>
      </c>
    </row>
    <row r="55" spans="1:34" hidden="1">
      <c r="A55" s="76"/>
      <c r="B55" s="71" t="s">
        <v>36</v>
      </c>
      <c r="C55" s="71"/>
      <c r="D55" s="71"/>
      <c r="E55" s="71"/>
      <c r="F55" s="71"/>
      <c r="G55" s="71"/>
      <c r="H55" s="71"/>
      <c r="I55" s="72">
        <f>INT(I59*$D$51*$E$64)</f>
        <v>0</v>
      </c>
      <c r="J55" s="72">
        <f>INT(J59*$D$51*$E$64)</f>
        <v>0</v>
      </c>
      <c r="K55" s="72">
        <f>INT(K59*$D$51*$E$64)</f>
        <v>0</v>
      </c>
      <c r="L55" s="72">
        <f>INT(L59*$D$51*$E$64)</f>
        <v>0</v>
      </c>
      <c r="M55" s="72">
        <f>INT(M59*$D$51*$E$64)</f>
        <v>0</v>
      </c>
      <c r="N55" s="72">
        <f t="shared" ref="N55:AF55" si="25">INT(N59*$D$51*$E$64)</f>
        <v>0</v>
      </c>
      <c r="O55" s="72">
        <f t="shared" si="25"/>
        <v>0</v>
      </c>
      <c r="P55" s="72">
        <f t="shared" si="25"/>
        <v>0</v>
      </c>
      <c r="Q55" s="72">
        <f t="shared" si="25"/>
        <v>0</v>
      </c>
      <c r="R55" s="72">
        <f t="shared" si="25"/>
        <v>0</v>
      </c>
      <c r="S55" s="72">
        <f t="shared" si="25"/>
        <v>0</v>
      </c>
      <c r="T55" s="72">
        <f t="shared" si="25"/>
        <v>0</v>
      </c>
      <c r="U55" s="72">
        <f t="shared" si="25"/>
        <v>0</v>
      </c>
      <c r="V55" s="72">
        <f t="shared" si="25"/>
        <v>0</v>
      </c>
      <c r="W55" s="72">
        <f t="shared" si="25"/>
        <v>0</v>
      </c>
      <c r="X55" s="72">
        <f t="shared" si="25"/>
        <v>0</v>
      </c>
      <c r="Y55" s="72">
        <f t="shared" si="25"/>
        <v>0</v>
      </c>
      <c r="Z55" s="72">
        <f t="shared" si="25"/>
        <v>0</v>
      </c>
      <c r="AA55" s="72">
        <f t="shared" si="25"/>
        <v>0</v>
      </c>
      <c r="AB55" s="72">
        <f t="shared" si="25"/>
        <v>0</v>
      </c>
      <c r="AC55" s="72">
        <f t="shared" si="25"/>
        <v>0</v>
      </c>
      <c r="AD55" s="72">
        <f t="shared" si="25"/>
        <v>0</v>
      </c>
      <c r="AE55" s="72">
        <f t="shared" si="25"/>
        <v>0</v>
      </c>
      <c r="AF55" s="72">
        <f t="shared" si="25"/>
        <v>0</v>
      </c>
      <c r="AG55" s="72">
        <f>INT(AG59*$D$51*$E$64)</f>
        <v>0</v>
      </c>
      <c r="AH55" s="5" t="s">
        <v>36</v>
      </c>
    </row>
    <row r="56" spans="1:34" hidden="1">
      <c r="A56" s="172"/>
      <c r="B56" s="71" t="s">
        <v>25</v>
      </c>
      <c r="C56" s="72"/>
      <c r="D56" s="71"/>
      <c r="E56" s="71"/>
      <c r="F56" s="71"/>
      <c r="G56" s="72">
        <f>INT((($D$8-SUM($C$50:F50))*($C$43)/2)*$E$64*G59)</f>
        <v>0</v>
      </c>
      <c r="H56" s="72">
        <f>INT((($D$8-SUM($C$50:G50))*($C$43)/2)*$E$64*H59)</f>
        <v>0</v>
      </c>
      <c r="I56" s="72">
        <f>INT((($D$8-SUM($C$50:H50))*($C$43)/2)*$E$64*I59)</f>
        <v>0</v>
      </c>
      <c r="J56" s="72">
        <f>INT((($D$8-SUM($C$50:I50))*($C$43)/2)*$E$64*J59)</f>
        <v>0</v>
      </c>
      <c r="K56" s="72">
        <f>INT((($D$8-SUM($C$50:J50))*($C$43)/2)*$E$64*K59)</f>
        <v>0</v>
      </c>
      <c r="L56" s="72">
        <f>INT((($D$8-SUM($C$50:K50))*($C$43)/2)*$E$64*L59)</f>
        <v>0</v>
      </c>
      <c r="M56" s="72">
        <f>INT((($D$8-SUM($C$50:L50))*($C$43)/2)*$E$64*M59)</f>
        <v>0</v>
      </c>
      <c r="N56" s="72">
        <f>INT((($D$8-SUM($C$50:M50))*($C$43)/2)*$E$64*N59)</f>
        <v>0</v>
      </c>
      <c r="O56" s="72">
        <f>INT((($D$8-SUM($C$50:N50))*($C$43)/2)*$E$64*O59)</f>
        <v>0</v>
      </c>
      <c r="P56" s="72">
        <f>INT((($D$8-SUM($C$50:O50))*($C$43)/2)*$E$64*P59)</f>
        <v>0</v>
      </c>
      <c r="Q56" s="72">
        <f>INT((($D$8-SUM($C$50:P50))*($C$43)/2)*$E$64*Q59)</f>
        <v>0</v>
      </c>
      <c r="R56" s="72">
        <f>INT((($D$8-SUM($C$50:Q50))*($C$43)/2)*$E$64*R59)</f>
        <v>0</v>
      </c>
      <c r="S56" s="72">
        <f>INT((($D$8-SUM($C$50:R50))*($C$43)/2)*$E$64*S59)</f>
        <v>0</v>
      </c>
      <c r="T56" s="72">
        <f>INT((($D$8-SUM($C$50:S50))*($C$43)/2)*$E$64*T59)</f>
        <v>0</v>
      </c>
      <c r="U56" s="72">
        <f>INT((($D$8-SUM($C$50:T50))*($C$43)/2)*$E$64*U59)</f>
        <v>0</v>
      </c>
      <c r="V56" s="72">
        <f>INT((($D$8-SUM($C$50:U50))*($C$43)/2)*$E$64*V59)</f>
        <v>0</v>
      </c>
      <c r="W56" s="72">
        <f>INT((($D$8-SUM($C$50:V50))*($C$43)/2)*$E$64*W59)</f>
        <v>0</v>
      </c>
      <c r="X56" s="72">
        <f>INT((($D$8-SUM($C$50:W50))*($C$43)/2)*$E$64*X59)</f>
        <v>0</v>
      </c>
      <c r="Y56" s="72">
        <f>INT((($D$8-SUM($C$50:X50))*($C$43)/2)*$E$64*Y59)</f>
        <v>0</v>
      </c>
      <c r="Z56" s="72">
        <f>INT((($D$8-SUM($C$50:Y50))*($C$43)/2)*$E$64*Z59)</f>
        <v>0</v>
      </c>
      <c r="AA56" s="72">
        <f>INT((($D$8-SUM($C$50:Z50))*($C$43)/2)*$E$64*AA59)</f>
        <v>0</v>
      </c>
      <c r="AB56" s="72">
        <f>INT((($D$8-SUM($C$50:AA50))*($C$43)/2)*$E$64*AB59)</f>
        <v>0</v>
      </c>
      <c r="AC56" s="72">
        <f>INT((($D$8-SUM($C$50:AB50))*($C$43)/2)*$E$64*AC59)</f>
        <v>0</v>
      </c>
      <c r="AD56" s="72">
        <f>INT((($D$8-SUM($C$50:AC50))*($C$43)/2)*$E$64*AD59)</f>
        <v>0</v>
      </c>
      <c r="AE56" s="72">
        <f>INT((($D$8-SUM($C$50:AD50))*($C$43)/2)*$E$64*AE59)</f>
        <v>0</v>
      </c>
      <c r="AF56" s="72">
        <f>INT((($D$8-SUM($C$50:AE50))*($C$43)/2)*$E$64*AF59)</f>
        <v>0</v>
      </c>
      <c r="AG56" s="72">
        <f>INT((($D$8-SUM($C$50:AF50))*($C$43)/2)*$E$64*AG59)</f>
        <v>0</v>
      </c>
      <c r="AH56" s="5" t="s">
        <v>25</v>
      </c>
    </row>
    <row r="57" spans="1:34" hidden="1"/>
    <row r="58" spans="1:34" hidden="1">
      <c r="B58" s="148" t="s">
        <v>63</v>
      </c>
      <c r="C58" s="149">
        <f>H63</f>
        <v>0</v>
      </c>
      <c r="D58" s="149">
        <f>IF(D46=$I$63,IF($H$63=1,1,0),0)</f>
        <v>0</v>
      </c>
      <c r="E58" s="149">
        <f>IF(E46=$I$63,IF($H$63=1,1,0),0)</f>
        <v>0</v>
      </c>
      <c r="F58" s="149">
        <f>IF(F46=$I$63,IF($H$63=1,1,0),0)</f>
        <v>0</v>
      </c>
      <c r="G58" s="149">
        <f>IF(G46=$I$63,IF($H$63=1,1,0),0)</f>
        <v>0</v>
      </c>
      <c r="H58" s="149">
        <f t="shared" ref="H58:AG58" si="26">IF(H46=$I$63,IF($H$63=1,1,0),0)</f>
        <v>0</v>
      </c>
      <c r="I58" s="149">
        <f t="shared" si="26"/>
        <v>0</v>
      </c>
      <c r="J58" s="149">
        <f t="shared" si="26"/>
        <v>0</v>
      </c>
      <c r="K58" s="149">
        <f t="shared" si="26"/>
        <v>0</v>
      </c>
      <c r="L58" s="149">
        <f t="shared" si="26"/>
        <v>0</v>
      </c>
      <c r="M58" s="149">
        <f t="shared" si="26"/>
        <v>0</v>
      </c>
      <c r="N58" s="149">
        <f t="shared" si="26"/>
        <v>0</v>
      </c>
      <c r="O58" s="149">
        <f t="shared" si="26"/>
        <v>0</v>
      </c>
      <c r="P58" s="150">
        <f t="shared" si="26"/>
        <v>0</v>
      </c>
      <c r="Q58" s="150">
        <f t="shared" si="26"/>
        <v>0</v>
      </c>
      <c r="R58" s="150">
        <f t="shared" si="26"/>
        <v>0</v>
      </c>
      <c r="S58" s="150">
        <f t="shared" si="26"/>
        <v>0</v>
      </c>
      <c r="T58" s="150">
        <f t="shared" si="26"/>
        <v>0</v>
      </c>
      <c r="U58" s="150">
        <f t="shared" si="26"/>
        <v>0</v>
      </c>
      <c r="V58" s="150">
        <f t="shared" si="26"/>
        <v>0</v>
      </c>
      <c r="W58" s="150">
        <f t="shared" si="26"/>
        <v>0</v>
      </c>
      <c r="X58" s="150">
        <f t="shared" si="26"/>
        <v>0</v>
      </c>
      <c r="Y58" s="150">
        <f t="shared" si="26"/>
        <v>0</v>
      </c>
      <c r="Z58" s="150">
        <f t="shared" si="26"/>
        <v>0</v>
      </c>
      <c r="AA58" s="150">
        <f t="shared" si="26"/>
        <v>0</v>
      </c>
      <c r="AB58" s="150">
        <f t="shared" si="26"/>
        <v>0</v>
      </c>
      <c r="AC58" s="150">
        <f t="shared" si="26"/>
        <v>0</v>
      </c>
      <c r="AD58" s="150">
        <f t="shared" si="26"/>
        <v>0</v>
      </c>
      <c r="AE58" s="150">
        <f t="shared" si="26"/>
        <v>0</v>
      </c>
      <c r="AF58" s="150">
        <f t="shared" si="26"/>
        <v>0</v>
      </c>
      <c r="AG58" s="150">
        <f t="shared" si="26"/>
        <v>0</v>
      </c>
    </row>
    <row r="59" spans="1:34" hidden="1">
      <c r="B59" s="60" t="s">
        <v>62</v>
      </c>
      <c r="C59" s="147">
        <f>H64</f>
        <v>0</v>
      </c>
      <c r="D59" s="147">
        <f>IF(D46=$I$64,IF($H$64=1,1,0),0)</f>
        <v>0</v>
      </c>
      <c r="E59" s="147">
        <f>IF(E46=$I$64,IF($H$64=1,1,0),0)</f>
        <v>0</v>
      </c>
      <c r="F59" s="147">
        <f>IF(F46=$I$64,IF($H$64=1,1,0),0)</f>
        <v>0</v>
      </c>
      <c r="G59" s="147">
        <f t="shared" ref="G59:AG59" si="27">IF(G46=$I$64,IF($H$64=1,1,0),0)</f>
        <v>0</v>
      </c>
      <c r="H59" s="147">
        <f t="shared" si="27"/>
        <v>0</v>
      </c>
      <c r="I59" s="147">
        <f t="shared" si="27"/>
        <v>0</v>
      </c>
      <c r="J59" s="147">
        <f t="shared" si="27"/>
        <v>0</v>
      </c>
      <c r="K59" s="147">
        <f t="shared" si="27"/>
        <v>0</v>
      </c>
      <c r="L59" s="147">
        <f t="shared" si="27"/>
        <v>0</v>
      </c>
      <c r="M59" s="147">
        <f t="shared" si="27"/>
        <v>0</v>
      </c>
      <c r="N59" s="147">
        <f t="shared" si="27"/>
        <v>0</v>
      </c>
      <c r="O59" s="147">
        <f t="shared" si="27"/>
        <v>0</v>
      </c>
      <c r="P59" s="78">
        <f t="shared" si="27"/>
        <v>0</v>
      </c>
      <c r="Q59" s="78">
        <f t="shared" si="27"/>
        <v>0</v>
      </c>
      <c r="R59" s="78">
        <f t="shared" si="27"/>
        <v>0</v>
      </c>
      <c r="S59" s="78">
        <f t="shared" si="27"/>
        <v>0</v>
      </c>
      <c r="T59" s="78">
        <f t="shared" si="27"/>
        <v>0</v>
      </c>
      <c r="U59" s="78">
        <f t="shared" si="27"/>
        <v>0</v>
      </c>
      <c r="V59" s="78">
        <f t="shared" si="27"/>
        <v>0</v>
      </c>
      <c r="W59" s="78">
        <f t="shared" si="27"/>
        <v>0</v>
      </c>
      <c r="X59" s="78">
        <f t="shared" si="27"/>
        <v>0</v>
      </c>
      <c r="Y59" s="78">
        <f t="shared" si="27"/>
        <v>0</v>
      </c>
      <c r="Z59" s="78">
        <f t="shared" si="27"/>
        <v>0</v>
      </c>
      <c r="AA59" s="78">
        <f t="shared" si="27"/>
        <v>0</v>
      </c>
      <c r="AB59" s="78">
        <f t="shared" si="27"/>
        <v>0</v>
      </c>
      <c r="AC59" s="78">
        <f t="shared" si="27"/>
        <v>0</v>
      </c>
      <c r="AD59" s="78">
        <f t="shared" si="27"/>
        <v>0</v>
      </c>
      <c r="AE59" s="78">
        <f t="shared" si="27"/>
        <v>0</v>
      </c>
      <c r="AF59" s="78">
        <f t="shared" si="27"/>
        <v>0</v>
      </c>
      <c r="AG59" s="78">
        <f t="shared" si="27"/>
        <v>0</v>
      </c>
    </row>
    <row r="60" spans="1:34" hidden="1">
      <c r="A60" s="61"/>
      <c r="B60" s="79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80"/>
    </row>
    <row r="61" spans="1:34" hidden="1">
      <c r="A61" s="61"/>
      <c r="B61" s="81" t="s">
        <v>26</v>
      </c>
      <c r="C61" s="82"/>
      <c r="D61" s="82"/>
      <c r="E61" s="82"/>
      <c r="F61" s="82">
        <f t="shared" ref="F61:V61" si="28">IF($H$64=1,$D$8*$F$9*F59,IF(F48=1,0,IF(G48=1,$D$8*$F$9,0)))</f>
        <v>0</v>
      </c>
      <c r="G61" s="82">
        <f t="shared" si="28"/>
        <v>0</v>
      </c>
      <c r="H61" s="82">
        <f t="shared" si="28"/>
        <v>0</v>
      </c>
      <c r="I61" s="82">
        <f t="shared" si="28"/>
        <v>0</v>
      </c>
      <c r="J61" s="82">
        <f t="shared" si="28"/>
        <v>0</v>
      </c>
      <c r="K61" s="82">
        <f t="shared" si="28"/>
        <v>0</v>
      </c>
      <c r="L61" s="82">
        <f t="shared" si="28"/>
        <v>0</v>
      </c>
      <c r="M61" s="82">
        <f t="shared" si="28"/>
        <v>0</v>
      </c>
      <c r="N61" s="82">
        <f t="shared" si="28"/>
        <v>0</v>
      </c>
      <c r="O61" s="82">
        <f t="shared" si="28"/>
        <v>0</v>
      </c>
      <c r="P61" s="82">
        <f t="shared" si="28"/>
        <v>0</v>
      </c>
      <c r="Q61" s="82">
        <f t="shared" si="28"/>
        <v>0</v>
      </c>
      <c r="R61" s="82">
        <f t="shared" si="28"/>
        <v>0</v>
      </c>
      <c r="S61" s="82">
        <f t="shared" si="28"/>
        <v>0</v>
      </c>
      <c r="T61" s="82">
        <f t="shared" si="28"/>
        <v>0</v>
      </c>
      <c r="U61" s="82">
        <f t="shared" si="28"/>
        <v>0</v>
      </c>
      <c r="V61" s="82">
        <f t="shared" si="28"/>
        <v>0</v>
      </c>
      <c r="W61" s="82">
        <f>IF($H$64=1,$D$8*$F$9*W59,IF(W48=1,0,IF(X48=1,$D$8*$F$9,0)))</f>
        <v>0</v>
      </c>
      <c r="X61" s="82">
        <f t="shared" ref="X61:AG61" si="29">IF($H$64=1,$D$8*$F$9*X59,IF(X48=1,0,IF(Y48=1,$D$8*$F$9,0)))</f>
        <v>0</v>
      </c>
      <c r="Y61" s="82">
        <f t="shared" si="29"/>
        <v>0</v>
      </c>
      <c r="Z61" s="82">
        <f t="shared" si="29"/>
        <v>0</v>
      </c>
      <c r="AA61" s="82">
        <f t="shared" si="29"/>
        <v>0</v>
      </c>
      <c r="AB61" s="82">
        <f t="shared" si="29"/>
        <v>0</v>
      </c>
      <c r="AC61" s="82">
        <f t="shared" si="29"/>
        <v>0</v>
      </c>
      <c r="AD61" s="82">
        <f t="shared" si="29"/>
        <v>0</v>
      </c>
      <c r="AE61" s="82">
        <f t="shared" si="29"/>
        <v>0</v>
      </c>
      <c r="AF61" s="82">
        <f t="shared" si="29"/>
        <v>0</v>
      </c>
      <c r="AG61" s="82">
        <f t="shared" si="29"/>
        <v>0</v>
      </c>
    </row>
    <row r="62" spans="1:34" hidden="1">
      <c r="A62" s="61"/>
      <c r="B62" s="7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</row>
    <row r="63" spans="1:34" hidden="1">
      <c r="A63" s="61"/>
      <c r="B63" s="79"/>
      <c r="C63" s="58"/>
      <c r="D63" s="58"/>
      <c r="E63" s="218" t="s">
        <v>61</v>
      </c>
      <c r="F63" s="218"/>
      <c r="G63" s="218"/>
      <c r="H63" s="58">
        <f>VLOOKUP(A44,B85:E96,4)</f>
        <v>0</v>
      </c>
      <c r="I63" s="58">
        <f>IF(D10&gt;$G$113,$G$113,D10)*2+H63</f>
        <v>18</v>
      </c>
      <c r="J63" s="58"/>
      <c r="K63" s="58"/>
      <c r="L63" s="58"/>
      <c r="M63" s="58"/>
      <c r="N63" s="58"/>
      <c r="O63" s="58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</row>
    <row r="64" spans="1:34" hidden="1">
      <c r="A64" s="61"/>
      <c r="B64" s="79"/>
      <c r="C64" s="58"/>
      <c r="D64" s="117">
        <f>VLOOKUP(A44,B73:D84,2)</f>
        <v>1</v>
      </c>
      <c r="E64" s="117">
        <f>VLOOKUP(A44,B73:D84,3)</f>
        <v>1</v>
      </c>
      <c r="F64" s="61"/>
      <c r="G64" s="61"/>
      <c r="H64" s="83">
        <f>VLOOKUP(A44,B85:E96,4)</f>
        <v>0</v>
      </c>
      <c r="I64" s="84">
        <f>D10*2+H64</f>
        <v>20</v>
      </c>
      <c r="J64" s="58"/>
      <c r="K64" s="58"/>
      <c r="L64" s="58"/>
      <c r="M64" s="58"/>
      <c r="N64" s="58"/>
      <c r="O64" s="58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hidden="1">
      <c r="A65" s="61"/>
      <c r="B65" s="79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hidden="1">
      <c r="A66" s="61"/>
      <c r="B66" s="85">
        <v>3</v>
      </c>
      <c r="C66" s="86">
        <v>1.87</v>
      </c>
      <c r="J66" s="84"/>
      <c r="K66" s="84"/>
      <c r="L66" s="84"/>
      <c r="M66" s="84"/>
    </row>
    <row r="67" spans="1:29" hidden="1">
      <c r="A67" s="61"/>
      <c r="B67" s="87">
        <v>4</v>
      </c>
      <c r="C67" s="88">
        <v>2.41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1:29" hidden="1">
      <c r="A68" s="61"/>
      <c r="B68" s="87">
        <v>5</v>
      </c>
      <c r="C68" s="88">
        <v>2.97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1:29" hidden="1">
      <c r="A69" s="61"/>
      <c r="B69" s="87">
        <v>6</v>
      </c>
      <c r="C69" s="88">
        <v>3.5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29" hidden="1">
      <c r="B70" s="87">
        <v>7</v>
      </c>
      <c r="C70" s="88">
        <v>4.04</v>
      </c>
    </row>
    <row r="71" spans="1:29" hidden="1">
      <c r="B71" s="87">
        <v>8</v>
      </c>
      <c r="C71" s="88">
        <v>4.59</v>
      </c>
    </row>
    <row r="72" spans="1:29" hidden="1">
      <c r="B72" s="87">
        <v>9</v>
      </c>
      <c r="C72" s="88">
        <v>5.17</v>
      </c>
    </row>
    <row r="73" spans="1:29" hidden="1">
      <c r="B73" s="89">
        <v>1</v>
      </c>
      <c r="C73" s="118">
        <f>C79</f>
        <v>0.5</v>
      </c>
      <c r="D73" s="119">
        <f>3/6</f>
        <v>0.5</v>
      </c>
    </row>
    <row r="74" spans="1:29" hidden="1">
      <c r="B74" s="90">
        <v>2</v>
      </c>
      <c r="C74" s="120">
        <f>C80</f>
        <v>0.33333333333333331</v>
      </c>
      <c r="D74" s="121">
        <f>4/6</f>
        <v>0.66666666666666663</v>
      </c>
    </row>
    <row r="75" spans="1:29" hidden="1">
      <c r="B75" s="90">
        <v>3</v>
      </c>
      <c r="C75" s="120">
        <f>C81</f>
        <v>0.16666666666666666</v>
      </c>
      <c r="D75" s="121">
        <f>5/6</f>
        <v>0.83333333333333337</v>
      </c>
    </row>
    <row r="76" spans="1:29" hidden="1">
      <c r="B76" s="90">
        <v>4</v>
      </c>
      <c r="C76" s="120">
        <v>1</v>
      </c>
      <c r="D76" s="121">
        <f>1</f>
        <v>1</v>
      </c>
    </row>
    <row r="77" spans="1:29" hidden="1">
      <c r="B77" s="90">
        <v>5</v>
      </c>
      <c r="C77" s="120">
        <f>5/6</f>
        <v>0.83333333333333337</v>
      </c>
      <c r="D77" s="121">
        <f>1/6</f>
        <v>0.16666666666666666</v>
      </c>
    </row>
    <row r="78" spans="1:29" hidden="1">
      <c r="B78" s="90">
        <v>6</v>
      </c>
      <c r="C78" s="120">
        <f>4/6</f>
        <v>0.66666666666666663</v>
      </c>
      <c r="D78" s="121">
        <f>2/6</f>
        <v>0.33333333333333331</v>
      </c>
    </row>
    <row r="79" spans="1:29" hidden="1">
      <c r="B79" s="90">
        <v>7</v>
      </c>
      <c r="C79" s="120">
        <f>3/6</f>
        <v>0.5</v>
      </c>
      <c r="D79" s="121">
        <f>3/6</f>
        <v>0.5</v>
      </c>
    </row>
    <row r="80" spans="1:29" hidden="1">
      <c r="B80" s="90">
        <v>8</v>
      </c>
      <c r="C80" s="120">
        <f>2/6</f>
        <v>0.33333333333333331</v>
      </c>
      <c r="D80" s="121">
        <f>4/6</f>
        <v>0.66666666666666663</v>
      </c>
    </row>
    <row r="81" spans="2:13" hidden="1">
      <c r="B81" s="90">
        <v>9</v>
      </c>
      <c r="C81" s="120">
        <f>1/6</f>
        <v>0.16666666666666666</v>
      </c>
      <c r="D81" s="121">
        <f>5/6</f>
        <v>0.83333333333333337</v>
      </c>
    </row>
    <row r="82" spans="2:13" hidden="1">
      <c r="B82" s="90">
        <v>10</v>
      </c>
      <c r="C82" s="120">
        <v>1</v>
      </c>
      <c r="D82" s="121">
        <f>1</f>
        <v>1</v>
      </c>
    </row>
    <row r="83" spans="2:13" hidden="1">
      <c r="B83" s="90">
        <v>11</v>
      </c>
      <c r="C83" s="120">
        <f>C77</f>
        <v>0.83333333333333337</v>
      </c>
      <c r="D83" s="121">
        <f>1/6</f>
        <v>0.16666666666666666</v>
      </c>
    </row>
    <row r="84" spans="2:13" hidden="1">
      <c r="B84" s="91">
        <v>12</v>
      </c>
      <c r="C84" s="122">
        <f>C78</f>
        <v>0.66666666666666663</v>
      </c>
      <c r="D84" s="123">
        <f>2/6</f>
        <v>0.33333333333333331</v>
      </c>
    </row>
    <row r="85" spans="2:13" hidden="1">
      <c r="B85" s="92">
        <v>1</v>
      </c>
      <c r="C85" s="93">
        <v>3</v>
      </c>
      <c r="D85" s="94"/>
      <c r="E85" s="95">
        <v>1</v>
      </c>
    </row>
    <row r="86" spans="2:13" hidden="1">
      <c r="B86" s="96">
        <v>2</v>
      </c>
      <c r="C86" s="97">
        <v>3</v>
      </c>
      <c r="D86" s="98"/>
      <c r="E86" s="99">
        <v>1</v>
      </c>
      <c r="L86" s="5" t="s">
        <v>20</v>
      </c>
    </row>
    <row r="87" spans="2:13" ht="27" hidden="1">
      <c r="B87" s="96">
        <v>3</v>
      </c>
      <c r="C87" s="97">
        <v>3</v>
      </c>
      <c r="D87" s="98"/>
      <c r="E87" s="99">
        <v>1</v>
      </c>
      <c r="L87" s="106" t="s">
        <v>21</v>
      </c>
      <c r="M87" s="155" t="s">
        <v>84</v>
      </c>
    </row>
    <row r="88" spans="2:13" hidden="1">
      <c r="B88" s="96">
        <v>4</v>
      </c>
      <c r="C88" s="97">
        <v>9</v>
      </c>
      <c r="D88" s="98"/>
      <c r="E88" s="99"/>
      <c r="L88" s="71">
        <v>2</v>
      </c>
      <c r="M88" s="71">
        <v>133</v>
      </c>
    </row>
    <row r="89" spans="2:13" hidden="1">
      <c r="B89" s="96">
        <v>5</v>
      </c>
      <c r="C89" s="97">
        <v>9</v>
      </c>
      <c r="D89" s="98"/>
      <c r="E89" s="99">
        <v>1</v>
      </c>
      <c r="L89" s="71">
        <v>3</v>
      </c>
      <c r="M89" s="71">
        <v>187</v>
      </c>
    </row>
    <row r="90" spans="2:13" hidden="1">
      <c r="B90" s="96">
        <v>6</v>
      </c>
      <c r="C90" s="97">
        <v>9</v>
      </c>
      <c r="D90" s="98"/>
      <c r="E90" s="99">
        <v>1</v>
      </c>
      <c r="L90" s="71">
        <v>4</v>
      </c>
      <c r="M90" s="71">
        <v>241</v>
      </c>
    </row>
    <row r="91" spans="2:13" hidden="1">
      <c r="B91" s="96">
        <v>7</v>
      </c>
      <c r="C91" s="97">
        <v>9</v>
      </c>
      <c r="D91" s="98"/>
      <c r="E91" s="99">
        <v>1</v>
      </c>
      <c r="L91" s="71">
        <v>5</v>
      </c>
      <c r="M91" s="71">
        <v>297</v>
      </c>
    </row>
    <row r="92" spans="2:13" hidden="1">
      <c r="B92" s="96">
        <v>8</v>
      </c>
      <c r="C92" s="97">
        <v>9</v>
      </c>
      <c r="D92" s="98"/>
      <c r="E92" s="99">
        <v>1</v>
      </c>
      <c r="L92" s="71">
        <v>6</v>
      </c>
      <c r="M92" s="71">
        <v>350</v>
      </c>
    </row>
    <row r="93" spans="2:13" hidden="1">
      <c r="B93" s="96">
        <v>9</v>
      </c>
      <c r="C93" s="97">
        <v>9</v>
      </c>
      <c r="D93" s="98"/>
      <c r="E93" s="99">
        <v>1</v>
      </c>
      <c r="L93" s="71">
        <v>7</v>
      </c>
      <c r="M93" s="71">
        <v>404</v>
      </c>
    </row>
    <row r="94" spans="2:13" hidden="1">
      <c r="B94" s="96">
        <v>10</v>
      </c>
      <c r="C94" s="97">
        <v>3</v>
      </c>
      <c r="D94" s="98">
        <v>1</v>
      </c>
      <c r="E94" s="99"/>
      <c r="L94" s="71">
        <v>8</v>
      </c>
      <c r="M94" s="71">
        <v>459</v>
      </c>
    </row>
    <row r="95" spans="2:13" hidden="1">
      <c r="B95" s="96">
        <v>11</v>
      </c>
      <c r="C95" s="97">
        <v>3</v>
      </c>
      <c r="D95" s="98">
        <v>1</v>
      </c>
      <c r="E95" s="99">
        <v>1</v>
      </c>
      <c r="L95" s="71">
        <v>9</v>
      </c>
      <c r="M95" s="71">
        <v>517</v>
      </c>
    </row>
    <row r="96" spans="2:13" hidden="1">
      <c r="B96" s="100">
        <v>12</v>
      </c>
      <c r="C96" s="101">
        <v>3</v>
      </c>
      <c r="D96" s="102">
        <v>1</v>
      </c>
      <c r="E96" s="103">
        <v>1</v>
      </c>
      <c r="L96" s="71">
        <v>10</v>
      </c>
      <c r="M96" s="71">
        <v>575</v>
      </c>
    </row>
    <row r="97" spans="2:13" hidden="1">
      <c r="B97" s="5">
        <f>YEAR(D11)</f>
        <v>2022</v>
      </c>
      <c r="C97" s="104">
        <f>MONTH(D11)</f>
        <v>10</v>
      </c>
      <c r="E97" s="5">
        <f>D10*2+VLOOKUP(MONTH(D11),B85:E96,4)</f>
        <v>20</v>
      </c>
      <c r="L97" s="71">
        <v>11</v>
      </c>
      <c r="M97" s="71">
        <v>624</v>
      </c>
    </row>
    <row r="98" spans="2:13" hidden="1">
      <c r="B98" s="5">
        <f>B97+VLOOKUP(C97,B85:D96,3)</f>
        <v>2023</v>
      </c>
      <c r="C98" s="5">
        <f>VLOOKUP(C97,B85:C96,2)</f>
        <v>3</v>
      </c>
      <c r="L98" s="71">
        <v>12</v>
      </c>
      <c r="M98" s="71">
        <v>675</v>
      </c>
    </row>
    <row r="99" spans="2:13" hidden="1">
      <c r="L99" s="71">
        <v>13</v>
      </c>
      <c r="M99" s="71">
        <v>773</v>
      </c>
    </row>
    <row r="100" spans="2:13" hidden="1">
      <c r="E100" s="105" t="s">
        <v>46</v>
      </c>
      <c r="L100" s="71">
        <v>14</v>
      </c>
      <c r="M100" s="71">
        <v>807</v>
      </c>
    </row>
    <row r="101" spans="2:13" hidden="1">
      <c r="L101" s="71">
        <v>15</v>
      </c>
      <c r="M101" s="71">
        <v>848</v>
      </c>
    </row>
    <row r="102" spans="2:13" hidden="1"/>
    <row r="103" spans="2:13" hidden="1"/>
    <row r="104" spans="2:13" ht="14.25" hidden="1" thickBot="1">
      <c r="B104" s="112" t="s">
        <v>54</v>
      </c>
      <c r="C104" s="113">
        <v>0.05</v>
      </c>
      <c r="E104" s="115" t="s">
        <v>55</v>
      </c>
      <c r="G104" s="189" t="s">
        <v>81</v>
      </c>
      <c r="H104" s="189"/>
      <c r="I104" s="184">
        <v>0.01</v>
      </c>
      <c r="K104" s="115" t="s">
        <v>80</v>
      </c>
    </row>
    <row r="105" spans="2:13" ht="15" hidden="1" thickBot="1">
      <c r="B105" s="81" t="s">
        <v>73</v>
      </c>
      <c r="C105" s="113">
        <v>0.08</v>
      </c>
      <c r="D105" s="12" t="s">
        <v>56</v>
      </c>
      <c r="E105" s="116">
        <f>IF(D11&lt;DATEVALUE("2014/4/1"),C104,IF(AND(D11&gt;=DATEVALUE("2014/4/1"),D11&lt;DATEVALUE("2019/9/30")),C105,C106))</f>
        <v>0.1</v>
      </c>
      <c r="G105" s="190" t="s">
        <v>82</v>
      </c>
      <c r="H105" s="190"/>
      <c r="I105" s="184">
        <v>7.0000000000000001E-3</v>
      </c>
      <c r="J105" s="12" t="s">
        <v>56</v>
      </c>
      <c r="K105" s="185">
        <v>7.0000000000000001E-3</v>
      </c>
    </row>
    <row r="106" spans="2:13" hidden="1">
      <c r="B106" s="81" t="s">
        <v>74</v>
      </c>
      <c r="C106" s="113">
        <v>0.1</v>
      </c>
      <c r="E106" s="114"/>
      <c r="G106" s="190"/>
      <c r="H106" s="190"/>
      <c r="I106" s="184"/>
      <c r="K106" s="114"/>
    </row>
    <row r="107" spans="2:13" hidden="1">
      <c r="B107" s="71"/>
      <c r="C107" s="71"/>
      <c r="G107" s="190"/>
      <c r="H107" s="190"/>
      <c r="I107" s="184"/>
    </row>
    <row r="108" spans="2:13" hidden="1">
      <c r="B108" s="71"/>
      <c r="C108" s="71"/>
      <c r="G108" s="190"/>
      <c r="H108" s="190"/>
      <c r="I108" s="184"/>
      <c r="L108" s="186"/>
      <c r="M108" s="186"/>
    </row>
    <row r="109" spans="2:13" hidden="1"/>
    <row r="110" spans="2:13" hidden="1"/>
    <row r="111" spans="2:13" hidden="1">
      <c r="B111" s="56" t="s">
        <v>65</v>
      </c>
      <c r="F111" s="56" t="s">
        <v>66</v>
      </c>
    </row>
    <row r="112" spans="2:13" ht="27" hidden="1">
      <c r="B112" s="81" t="s">
        <v>67</v>
      </c>
      <c r="C112" s="145" t="s">
        <v>71</v>
      </c>
      <c r="D112" s="155" t="s">
        <v>69</v>
      </c>
      <c r="F112" s="145" t="s">
        <v>71</v>
      </c>
      <c r="G112" s="155" t="s">
        <v>69</v>
      </c>
    </row>
    <row r="113" spans="2:7" ht="14.25" hidden="1">
      <c r="B113" s="156">
        <v>40634</v>
      </c>
      <c r="C113" s="71">
        <v>5000000</v>
      </c>
      <c r="D113" s="71">
        <v>7</v>
      </c>
      <c r="F113" s="158">
        <f>VLOOKUP(D11, B113:D116, 2,TRUE)</f>
        <v>20000000</v>
      </c>
      <c r="G113" s="157">
        <f>VLOOKUP(D11,B113:D116, 3,TRUE)</f>
        <v>9</v>
      </c>
    </row>
    <row r="114" spans="2:7" hidden="1">
      <c r="B114" s="156">
        <v>41730</v>
      </c>
      <c r="C114" s="71">
        <v>10000000</v>
      </c>
      <c r="D114" s="71">
        <v>7</v>
      </c>
      <c r="E114" s="12" t="s">
        <v>70</v>
      </c>
    </row>
    <row r="115" spans="2:7" hidden="1">
      <c r="B115" s="156">
        <v>42095</v>
      </c>
      <c r="C115" s="71">
        <v>20000000</v>
      </c>
      <c r="D115" s="71">
        <v>9</v>
      </c>
    </row>
    <row r="116" spans="2:7" hidden="1">
      <c r="B116" s="156"/>
      <c r="C116" s="71"/>
      <c r="D116" s="71"/>
    </row>
    <row r="117" spans="2:7" hidden="1"/>
    <row r="118" spans="2:7" hidden="1"/>
    <row r="119" spans="2:7" hidden="1"/>
    <row r="120" spans="2:7" hidden="1"/>
    <row r="121" spans="2:7" hidden="1"/>
    <row r="122" spans="2:7" hidden="1"/>
    <row r="123" spans="2:7" hidden="1"/>
    <row r="124" spans="2:7" hidden="1"/>
    <row r="125" spans="2:7" hidden="1"/>
    <row r="126" spans="2:7" hidden="1"/>
    <row r="127" spans="2:7" hidden="1"/>
    <row r="128" spans="2: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</sheetData>
  <sheetProtection sheet="1" objects="1" scenarios="1"/>
  <mergeCells count="42">
    <mergeCell ref="AH26:AH28"/>
    <mergeCell ref="AH38:AH39"/>
    <mergeCell ref="E63:G63"/>
    <mergeCell ref="I22:M22"/>
    <mergeCell ref="I23:M23"/>
    <mergeCell ref="I18:M18"/>
    <mergeCell ref="G19:H19"/>
    <mergeCell ref="I19:M19"/>
    <mergeCell ref="G20:G21"/>
    <mergeCell ref="I20:M20"/>
    <mergeCell ref="I21:M21"/>
    <mergeCell ref="I17:M17"/>
    <mergeCell ref="A12:C12"/>
    <mergeCell ref="B10:C10"/>
    <mergeCell ref="D10:E10"/>
    <mergeCell ref="B11:C11"/>
    <mergeCell ref="D11:E11"/>
    <mergeCell ref="G11:H11"/>
    <mergeCell ref="D12:E12"/>
    <mergeCell ref="I11:O11"/>
    <mergeCell ref="F14:O14"/>
    <mergeCell ref="F15:M15"/>
    <mergeCell ref="N15:O16"/>
    <mergeCell ref="G16:H16"/>
    <mergeCell ref="I16:M16"/>
    <mergeCell ref="A1:AD1"/>
    <mergeCell ref="K2:Q2"/>
    <mergeCell ref="A4:N4"/>
    <mergeCell ref="A5:N5"/>
    <mergeCell ref="B8:C8"/>
    <mergeCell ref="D8:E8"/>
    <mergeCell ref="G106:H106"/>
    <mergeCell ref="G107:H107"/>
    <mergeCell ref="G108:H108"/>
    <mergeCell ref="B9:C9"/>
    <mergeCell ref="D9:E9"/>
    <mergeCell ref="G17:H17"/>
    <mergeCell ref="G18:H18"/>
    <mergeCell ref="G22:H23"/>
    <mergeCell ref="G104:H104"/>
    <mergeCell ref="G105:H105"/>
    <mergeCell ref="B26:B28"/>
  </mergeCells>
  <phoneticPr fontId="17"/>
  <conditionalFormatting sqref="H25:AG25">
    <cfRule type="expression" dxfId="17" priority="4" stopIfTrue="1">
      <formula>$H$48=$E$98</formula>
    </cfRule>
    <cfRule type="expression" dxfId="16" priority="14" stopIfTrue="1">
      <formula>$N$48=$E$98</formula>
    </cfRule>
    <cfRule type="cellIs" dxfId="15" priority="15" stopIfTrue="1" operator="equal">
      <formula>$E$98=$N$48</formula>
    </cfRule>
    <cfRule type="cellIs" dxfId="14" priority="16" stopIfTrue="1" operator="equal">
      <formula>$N$48=$E$98</formula>
    </cfRule>
  </conditionalFormatting>
  <conditionalFormatting sqref="I25">
    <cfRule type="expression" dxfId="13" priority="3" stopIfTrue="1">
      <formula>$I$48=$E$98</formula>
    </cfRule>
  </conditionalFormatting>
  <conditionalFormatting sqref="J25">
    <cfRule type="expression" dxfId="12" priority="2" stopIfTrue="1">
      <formula>$J$48=$E$98</formula>
    </cfRule>
  </conditionalFormatting>
  <conditionalFormatting sqref="K25">
    <cfRule type="expression" dxfId="11" priority="1" stopIfTrue="1">
      <formula>$K$48=$E$98</formula>
    </cfRule>
  </conditionalFormatting>
  <conditionalFormatting sqref="L25">
    <cfRule type="expression" dxfId="10" priority="5" stopIfTrue="1">
      <formula>$L$48=$E$98</formula>
    </cfRule>
  </conditionalFormatting>
  <conditionalFormatting sqref="M25">
    <cfRule type="expression" dxfId="9" priority="6" stopIfTrue="1">
      <formula>$M$48=$E$98</formula>
    </cfRule>
  </conditionalFormatting>
  <conditionalFormatting sqref="O25:AG25">
    <cfRule type="expression" dxfId="8" priority="25" stopIfTrue="1">
      <formula>$O$48=$E$98</formula>
    </cfRule>
    <cfRule type="expression" dxfId="7" priority="26" stopIfTrue="1">
      <formula>$O$4=$E$98</formula>
    </cfRule>
  </conditionalFormatting>
  <conditionalFormatting sqref="P25">
    <cfRule type="expression" dxfId="6" priority="13" stopIfTrue="1">
      <formula>$P$48=$E$98</formula>
    </cfRule>
  </conditionalFormatting>
  <conditionalFormatting sqref="Q25:AC25">
    <cfRule type="expression" dxfId="5" priority="12" stopIfTrue="1">
      <formula>$Q$48=$E$98</formula>
    </cfRule>
  </conditionalFormatting>
  <conditionalFormatting sqref="AD25">
    <cfRule type="expression" dxfId="4" priority="10" stopIfTrue="1">
      <formula>$AD$48=$E$98</formula>
    </cfRule>
    <cfRule type="cellIs" dxfId="3" priority="11" stopIfTrue="1" operator="equal">
      <formula>$AD$48=$E$98</formula>
    </cfRule>
  </conditionalFormatting>
  <conditionalFormatting sqref="AE25">
    <cfRule type="expression" dxfId="2" priority="9" stopIfTrue="1">
      <formula>$AE$48=$E$98</formula>
    </cfRule>
  </conditionalFormatting>
  <conditionalFormatting sqref="AF25">
    <cfRule type="expression" dxfId="1" priority="8" stopIfTrue="1">
      <formula>$AF$48=$E$98</formula>
    </cfRule>
  </conditionalFormatting>
  <conditionalFormatting sqref="AG25">
    <cfRule type="expression" dxfId="0" priority="7" stopIfTrue="1">
      <formula>$AG$48=$E$98</formula>
    </cfRule>
  </conditionalFormatting>
  <dataValidations count="5">
    <dataValidation type="whole" errorStyle="warning" operator="greaterThanOrEqual" allowBlank="1" showInputMessage="1" showErrorMessage="1" error="入力し直し" sqref="D8:E8 D9" xr:uid="{00000000-0002-0000-0100-000000000000}">
      <formula1>100000</formula1>
    </dataValidation>
    <dataValidation type="whole" allowBlank="1" showInputMessage="1" showErrorMessage="1" sqref="D10:E10" xr:uid="{00000000-0002-0000-0100-000001000000}">
      <formula1>10</formula1>
      <formula2>15</formula2>
    </dataValidation>
    <dataValidation type="whole" allowBlank="1" showInputMessage="1" showErrorMessage="1" sqref="D12:E12" xr:uid="{00000000-0002-0000-0100-000002000000}">
      <formula1>1</formula1>
      <formula2>7</formula2>
    </dataValidation>
    <dataValidation type="date" operator="greaterThanOrEqual" allowBlank="1" showInputMessage="1" showErrorMessage="1" sqref="D11:E11" xr:uid="{45A96BA8-179C-4B73-8AD7-A5E0F8DE4E6C}">
      <formula1>43191</formula1>
    </dataValidation>
    <dataValidation type="list" operator="equal" showInputMessage="1" showErrorMessage="1" sqref="F9" xr:uid="{014C90E3-2B56-4F4F-84AA-D737879603C1}">
      <formula1>"0,0.1"</formula1>
    </dataValidation>
  </dataValidations>
  <printOptions horizontalCentered="1"/>
  <pageMargins left="0.19685039370078741" right="0.19685039370078741" top="1.55" bottom="0.28000000000000003" header="0.51181102362204722" footer="0.19685039370078741"/>
  <pageSetup paperSize="8" scale="56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貸付料等計算書（貸付期間２～9年の場合）</vt:lpstr>
      <vt:lpstr>貸付料等計算書 (貸付期間10～15年の場合）</vt:lpstr>
      <vt:lpstr>'貸付料等計算書 (貸付期間10～15年の場合）'!Print_Area</vt:lpstr>
      <vt:lpstr>'貸付料等計算書（貸付期間２～9年の場合）'!Print_Area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bajijigyobu1</dc:creator>
  <cp:lastModifiedBy>戸倉 智</cp:lastModifiedBy>
  <cp:lastPrinted>2022-02-01T04:44:09Z</cp:lastPrinted>
  <dcterms:created xsi:type="dcterms:W3CDTF">2012-12-17T02:11:01Z</dcterms:created>
  <dcterms:modified xsi:type="dcterms:W3CDTF">2025-12-09T05:43:26Z</dcterms:modified>
</cp:coreProperties>
</file>