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okura\Documents\ホームページ関係\html\document\exsel\"/>
    </mc:Choice>
  </mc:AlternateContent>
  <xr:revisionPtr revIDLastSave="0" documentId="13_ncr:1_{FF54A370-5263-4C0B-A283-B1940CF54BA8}" xr6:coauthVersionLast="47" xr6:coauthVersionMax="47" xr10:uidLastSave="{00000000-0000-0000-0000-000000000000}"/>
  <bookViews>
    <workbookView xWindow="-105" yWindow="0" windowWidth="14610" windowHeight="15585" xr2:uid="{00000000-000D-0000-FFFF-FFFF00000000}"/>
  </bookViews>
  <sheets>
    <sheet name="貸付料等計算書（補助付リース貸付け）" sheetId="3" r:id="rId1"/>
  </sheets>
  <definedNames>
    <definedName name="_xlnm.Print_Area" localSheetId="0">'貸付料等計算書（補助付リース貸付け）'!$A$1:$W$41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05" i="3" l="1"/>
  <c r="C43" i="3" s="1"/>
  <c r="AA47" i="3" l="1"/>
  <c r="D9" i="3"/>
  <c r="E105" i="3"/>
  <c r="D54" i="3" s="1"/>
  <c r="F113" i="3"/>
  <c r="G113" i="3"/>
  <c r="S47" i="3" s="1"/>
  <c r="U48" i="3"/>
  <c r="U52" i="3" s="1"/>
  <c r="T48" i="3"/>
  <c r="T49" i="3" s="1"/>
  <c r="S48" i="3"/>
  <c r="S49" i="3" s="1"/>
  <c r="R48" i="3"/>
  <c r="R49" i="3" s="1"/>
  <c r="Q48" i="3"/>
  <c r="Q52" i="3" s="1"/>
  <c r="P48" i="3"/>
  <c r="O48" i="3"/>
  <c r="N48" i="3"/>
  <c r="M48" i="3"/>
  <c r="L48" i="3"/>
  <c r="K48" i="3"/>
  <c r="J48" i="3"/>
  <c r="I48" i="3"/>
  <c r="H48" i="3"/>
  <c r="G48" i="3"/>
  <c r="E48" i="3"/>
  <c r="D48" i="3"/>
  <c r="C48" i="3"/>
  <c r="F48" i="3"/>
  <c r="E97" i="3"/>
  <c r="L28" i="3" s="1"/>
  <c r="C97" i="3"/>
  <c r="C98" i="3" s="1"/>
  <c r="B97" i="3"/>
  <c r="D84" i="3"/>
  <c r="D83" i="3"/>
  <c r="D82" i="3"/>
  <c r="D81" i="3"/>
  <c r="C81" i="3"/>
  <c r="C75" i="3" s="1"/>
  <c r="D80" i="3"/>
  <c r="C80" i="3"/>
  <c r="C74" i="3" s="1"/>
  <c r="D79" i="3"/>
  <c r="C79" i="3"/>
  <c r="C73" i="3" s="1"/>
  <c r="D78" i="3"/>
  <c r="C78" i="3"/>
  <c r="C84" i="3" s="1"/>
  <c r="D77" i="3"/>
  <c r="C77" i="3"/>
  <c r="C83" i="3" s="1"/>
  <c r="D76" i="3"/>
  <c r="D75" i="3"/>
  <c r="D74" i="3"/>
  <c r="D73" i="3"/>
  <c r="A44" i="3"/>
  <c r="E64" i="3" s="1"/>
  <c r="G14" i="3"/>
  <c r="H63" i="3"/>
  <c r="AC47" i="3"/>
  <c r="U73" i="3"/>
  <c r="U74" i="3"/>
  <c r="AG47" i="3"/>
  <c r="V47" i="3"/>
  <c r="W47" i="3"/>
  <c r="Z47" i="3"/>
  <c r="AE47" i="3"/>
  <c r="AD47" i="3"/>
  <c r="X47" i="3"/>
  <c r="G73" i="3"/>
  <c r="G74" i="3"/>
  <c r="H73" i="3"/>
  <c r="I73" i="3"/>
  <c r="I74" i="3"/>
  <c r="H74" i="3"/>
  <c r="J73" i="3"/>
  <c r="K73" i="3"/>
  <c r="K74" i="3"/>
  <c r="J74" i="3"/>
  <c r="L73" i="3"/>
  <c r="M73" i="3"/>
  <c r="M74" i="3"/>
  <c r="L74" i="3"/>
  <c r="N73" i="3"/>
  <c r="O74" i="3"/>
  <c r="O73" i="3"/>
  <c r="N74" i="3"/>
  <c r="P74" i="3"/>
  <c r="P73" i="3"/>
  <c r="Q73" i="3"/>
  <c r="Q74" i="3"/>
  <c r="R73" i="3"/>
  <c r="R74" i="3"/>
  <c r="S73" i="3"/>
  <c r="S74" i="3"/>
  <c r="T73" i="3"/>
  <c r="T74" i="3"/>
  <c r="V74" i="3"/>
  <c r="C54" i="3" l="1"/>
  <c r="D11" i="3"/>
  <c r="U51" i="3" s="1"/>
  <c r="Q49" i="3"/>
  <c r="B98" i="3"/>
  <c r="C30" i="3" s="1"/>
  <c r="D30" i="3" s="1"/>
  <c r="E30" i="3" s="1"/>
  <c r="F30" i="3" s="1"/>
  <c r="G30" i="3" s="1"/>
  <c r="H30" i="3" s="1"/>
  <c r="I30" i="3" s="1"/>
  <c r="J30" i="3" s="1"/>
  <c r="K30" i="3" s="1"/>
  <c r="L30" i="3" s="1"/>
  <c r="M30" i="3" s="1"/>
  <c r="N30" i="3" s="1"/>
  <c r="O30" i="3" s="1"/>
  <c r="P30" i="3" s="1"/>
  <c r="Q30" i="3" s="1"/>
  <c r="R30" i="3" s="1"/>
  <c r="S30" i="3" s="1"/>
  <c r="T30" i="3" s="1"/>
  <c r="U30" i="3" s="1"/>
  <c r="C37" i="3"/>
  <c r="V37" i="3" s="1"/>
  <c r="AB47" i="3"/>
  <c r="AF47" i="3"/>
  <c r="Y47" i="3"/>
  <c r="Q50" i="3"/>
  <c r="Q51" i="3" s="1"/>
  <c r="H64" i="3"/>
  <c r="I64" i="3" s="1"/>
  <c r="E59" i="3" s="1"/>
  <c r="R50" i="3"/>
  <c r="D47" i="3"/>
  <c r="U47" i="3"/>
  <c r="R52" i="3"/>
  <c r="P47" i="3"/>
  <c r="L47" i="3"/>
  <c r="T47" i="3"/>
  <c r="Q47" i="3"/>
  <c r="K47" i="3"/>
  <c r="I47" i="3"/>
  <c r="E47" i="3"/>
  <c r="H47" i="3"/>
  <c r="I63" i="3"/>
  <c r="S59" i="3" s="1"/>
  <c r="U28" i="3"/>
  <c r="N28" i="3"/>
  <c r="D64" i="3"/>
  <c r="S51" i="3"/>
  <c r="T28" i="3"/>
  <c r="Q28" i="3"/>
  <c r="P28" i="3"/>
  <c r="J28" i="3"/>
  <c r="I28" i="3"/>
  <c r="S28" i="3"/>
  <c r="R28" i="3"/>
  <c r="M28" i="3"/>
  <c r="K28" i="3"/>
  <c r="O28" i="3"/>
  <c r="S50" i="3"/>
  <c r="H28" i="3"/>
  <c r="S52" i="3"/>
  <c r="T50" i="3"/>
  <c r="T52" i="3"/>
  <c r="F47" i="3"/>
  <c r="O47" i="3"/>
  <c r="G47" i="3"/>
  <c r="R47" i="3"/>
  <c r="N47" i="3"/>
  <c r="J47" i="3"/>
  <c r="C47" i="3"/>
  <c r="M47" i="3"/>
  <c r="R40" i="3"/>
  <c r="M59" i="3" l="1"/>
  <c r="M61" i="3" s="1"/>
  <c r="M34" i="3" s="1"/>
  <c r="M35" i="3" s="1"/>
  <c r="Q59" i="3"/>
  <c r="Q61" i="3" s="1"/>
  <c r="Q34" i="3" s="1"/>
  <c r="Q35" i="3" s="1"/>
  <c r="T51" i="3"/>
  <c r="R51" i="3"/>
  <c r="C52" i="3"/>
  <c r="C59" i="3"/>
  <c r="D58" i="3"/>
  <c r="S61" i="3"/>
  <c r="S34" i="3" s="1"/>
  <c r="S35" i="3" s="1"/>
  <c r="A50" i="3"/>
  <c r="D50" i="3" s="1"/>
  <c r="E50" i="3" s="1"/>
  <c r="E51" i="3" s="1"/>
  <c r="E61" i="3"/>
  <c r="E34" i="3" s="1"/>
  <c r="E35" i="3" s="1"/>
  <c r="D12" i="3"/>
  <c r="S53" i="3"/>
  <c r="S32" i="3" s="1"/>
  <c r="G58" i="3"/>
  <c r="P58" i="3"/>
  <c r="C58" i="3"/>
  <c r="R59" i="3"/>
  <c r="R53" i="3" s="1"/>
  <c r="R32" i="3" s="1"/>
  <c r="K58" i="3"/>
  <c r="I59" i="3"/>
  <c r="I61" i="3" s="1"/>
  <c r="I34" i="3" s="1"/>
  <c r="I35" i="3" s="1"/>
  <c r="P59" i="3"/>
  <c r="P61" i="3" s="1"/>
  <c r="I58" i="3"/>
  <c r="S58" i="3"/>
  <c r="O59" i="3"/>
  <c r="R58" i="3"/>
  <c r="T58" i="3"/>
  <c r="F58" i="3"/>
  <c r="H59" i="3"/>
  <c r="D59" i="3"/>
  <c r="D61" i="3" s="1"/>
  <c r="E58" i="3"/>
  <c r="K59" i="3"/>
  <c r="K61" i="3" s="1"/>
  <c r="O58" i="3"/>
  <c r="F59" i="3"/>
  <c r="F61" i="3" s="1"/>
  <c r="L59" i="3"/>
  <c r="L61" i="3" s="1"/>
  <c r="J58" i="3"/>
  <c r="L58" i="3"/>
  <c r="Q58" i="3"/>
  <c r="N59" i="3"/>
  <c r="N61" i="3" s="1"/>
  <c r="U59" i="3"/>
  <c r="U53" i="3" s="1"/>
  <c r="U32" i="3" s="1"/>
  <c r="T59" i="3"/>
  <c r="T61" i="3" s="1"/>
  <c r="J59" i="3"/>
  <c r="J61" i="3" s="1"/>
  <c r="H58" i="3"/>
  <c r="G59" i="3"/>
  <c r="G61" i="3" s="1"/>
  <c r="U58" i="3"/>
  <c r="N58" i="3"/>
  <c r="M58" i="3"/>
  <c r="U49" i="3"/>
  <c r="E53" i="3" l="1"/>
  <c r="E54" i="3" s="1"/>
  <c r="D51" i="3"/>
  <c r="Q54" i="3" s="1"/>
  <c r="Q33" i="3" s="1"/>
  <c r="E33" i="3"/>
  <c r="D32" i="3"/>
  <c r="O61" i="3"/>
  <c r="O34" i="3" s="1"/>
  <c r="O35" i="3" s="1"/>
  <c r="H61" i="3"/>
  <c r="H34" i="3" s="1"/>
  <c r="H35" i="3" s="1"/>
  <c r="U61" i="3"/>
  <c r="U34" i="3" s="1"/>
  <c r="U35" i="3" s="1"/>
  <c r="R61" i="3"/>
  <c r="R34" i="3" s="1"/>
  <c r="R35" i="3" s="1"/>
  <c r="G34" i="3"/>
  <c r="G35" i="3" s="1"/>
  <c r="K34" i="3"/>
  <c r="K35" i="3" s="1"/>
  <c r="D34" i="3"/>
  <c r="D35" i="3" s="1"/>
  <c r="P34" i="3"/>
  <c r="P35" i="3" s="1"/>
  <c r="T53" i="3"/>
  <c r="T32" i="3" s="1"/>
  <c r="J34" i="3"/>
  <c r="J35" i="3" s="1"/>
  <c r="L34" i="3"/>
  <c r="L35" i="3" s="1"/>
  <c r="T34" i="3"/>
  <c r="T35" i="3" s="1"/>
  <c r="N34" i="3"/>
  <c r="N35" i="3" s="1"/>
  <c r="U54" i="3"/>
  <c r="U33" i="3" s="1"/>
  <c r="F34" i="3"/>
  <c r="F35" i="3" s="1"/>
  <c r="D33" i="3"/>
  <c r="F50" i="3"/>
  <c r="F51" i="3" s="1"/>
  <c r="F53" i="3"/>
  <c r="F54" i="3" s="1"/>
  <c r="P54" i="3" l="1"/>
  <c r="T54" i="3"/>
  <c r="T33" i="3" s="1"/>
  <c r="E32" i="3"/>
  <c r="R54" i="3"/>
  <c r="R33" i="3" s="1"/>
  <c r="S54" i="3"/>
  <c r="S33" i="3" s="1"/>
  <c r="F33" i="3"/>
  <c r="V35" i="3"/>
  <c r="V34" i="3"/>
  <c r="F32" i="3"/>
  <c r="G53" i="3"/>
  <c r="G54" i="3" s="1"/>
  <c r="G50" i="3"/>
  <c r="G51" i="3" s="1"/>
  <c r="G33" i="3" l="1"/>
  <c r="G32" i="3"/>
  <c r="H50" i="3"/>
  <c r="H51" i="3" s="1"/>
  <c r="H53" i="3"/>
  <c r="H54" i="3" s="1"/>
  <c r="H33" i="3" l="1"/>
  <c r="H32" i="3"/>
  <c r="I50" i="3"/>
  <c r="I51" i="3" s="1"/>
  <c r="I53" i="3"/>
  <c r="I54" i="3" s="1"/>
  <c r="I33" i="3" l="1"/>
  <c r="I32" i="3"/>
  <c r="J50" i="3"/>
  <c r="J51" i="3" s="1"/>
  <c r="J53" i="3"/>
  <c r="J54" i="3" s="1"/>
  <c r="J33" i="3" l="1"/>
  <c r="J32" i="3"/>
  <c r="K53" i="3"/>
  <c r="K54" i="3" s="1"/>
  <c r="K50" i="3"/>
  <c r="K51" i="3" s="1"/>
  <c r="K33" i="3" l="1"/>
  <c r="K32" i="3"/>
  <c r="L50" i="3"/>
  <c r="L51" i="3" s="1"/>
  <c r="L53" i="3"/>
  <c r="L54" i="3" s="1"/>
  <c r="L33" i="3" l="1"/>
  <c r="L32" i="3"/>
  <c r="M50" i="3"/>
  <c r="M51" i="3" s="1"/>
  <c r="M53" i="3"/>
  <c r="M54" i="3" s="1"/>
  <c r="M33" i="3" l="1"/>
  <c r="M32" i="3"/>
  <c r="N50" i="3"/>
  <c r="N53" i="3"/>
  <c r="N54" i="3" s="1"/>
  <c r="O50" i="3" l="1"/>
  <c r="O51" i="3" s="1"/>
  <c r="N51" i="3"/>
  <c r="N33" i="3" s="1"/>
  <c r="P50" i="3"/>
  <c r="N32" i="3"/>
  <c r="O53" i="3"/>
  <c r="P53" i="3" l="1"/>
  <c r="P32" i="3" s="1"/>
  <c r="Q53" i="3"/>
  <c r="Q32" i="3" s="1"/>
  <c r="P51" i="3"/>
  <c r="O32" i="3"/>
  <c r="O54" i="3"/>
  <c r="O33" i="3" s="1"/>
  <c r="C50" i="3" l="1"/>
  <c r="G49" i="3" s="1"/>
  <c r="G52" i="3" s="1"/>
  <c r="C51" i="3"/>
  <c r="P33" i="3"/>
  <c r="C33" i="3"/>
  <c r="O49" i="3"/>
  <c r="O52" i="3" s="1"/>
  <c r="N49" i="3"/>
  <c r="N52" i="3" s="1"/>
  <c r="M49" i="3"/>
  <c r="M52" i="3" s="1"/>
  <c r="F49" i="3"/>
  <c r="F52" i="3" s="1"/>
  <c r="Q55" i="3"/>
  <c r="Q36" i="3" s="1"/>
  <c r="Q38" i="3" s="1"/>
  <c r="K55" i="3"/>
  <c r="P55" i="3" l="1"/>
  <c r="S55" i="3"/>
  <c r="S36" i="3" s="1"/>
  <c r="S38" i="3" s="1"/>
  <c r="D55" i="3"/>
  <c r="J55" i="3"/>
  <c r="H55" i="3"/>
  <c r="U55" i="3"/>
  <c r="U36" i="3" s="1"/>
  <c r="U38" i="3" s="1"/>
  <c r="R55" i="3"/>
  <c r="R36" i="3" s="1"/>
  <c r="R38" i="3" s="1"/>
  <c r="C55" i="3"/>
  <c r="C36" i="3" s="1"/>
  <c r="K49" i="3"/>
  <c r="K52" i="3" s="1"/>
  <c r="K36" i="3" s="1"/>
  <c r="K38" i="3" s="1"/>
  <c r="L49" i="3"/>
  <c r="L52" i="3" s="1"/>
  <c r="H49" i="3"/>
  <c r="H52" i="3" s="1"/>
  <c r="O55" i="3"/>
  <c r="O36" i="3" s="1"/>
  <c r="O38" i="3" s="1"/>
  <c r="M55" i="3"/>
  <c r="M36" i="3" s="1"/>
  <c r="M38" i="3" s="1"/>
  <c r="L55" i="3"/>
  <c r="D49" i="3"/>
  <c r="D52" i="3" s="1"/>
  <c r="D36" i="3" s="1"/>
  <c r="G55" i="3"/>
  <c r="G36" i="3" s="1"/>
  <c r="G38" i="3" s="1"/>
  <c r="N55" i="3"/>
  <c r="N36" i="3" s="1"/>
  <c r="N38" i="3" s="1"/>
  <c r="I55" i="3"/>
  <c r="C32" i="3"/>
  <c r="V32" i="3" s="1"/>
  <c r="E55" i="3"/>
  <c r="F55" i="3"/>
  <c r="F36" i="3" s="1"/>
  <c r="F38" i="3" s="1"/>
  <c r="T55" i="3"/>
  <c r="T36" i="3" s="1"/>
  <c r="T38" i="3" s="1"/>
  <c r="I49" i="3"/>
  <c r="I52" i="3" s="1"/>
  <c r="E49" i="3"/>
  <c r="E52" i="3" s="1"/>
  <c r="J49" i="3"/>
  <c r="J52" i="3" s="1"/>
  <c r="P49" i="3"/>
  <c r="P52" i="3" s="1"/>
  <c r="V33" i="3"/>
  <c r="P36" i="3" l="1"/>
  <c r="P38" i="3" s="1"/>
  <c r="L36" i="3"/>
  <c r="L38" i="3" s="1"/>
  <c r="J36" i="3"/>
  <c r="J38" i="3" s="1"/>
  <c r="C38" i="3"/>
  <c r="H36" i="3"/>
  <c r="H38" i="3" s="1"/>
  <c r="I36" i="3"/>
  <c r="I38" i="3" s="1"/>
  <c r="E36" i="3"/>
  <c r="E38" i="3" s="1"/>
  <c r="D38" i="3"/>
  <c r="V43" i="3"/>
  <c r="W43" i="3" s="1"/>
  <c r="V36" i="3" l="1"/>
  <c r="V38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yokokawa koji</author>
    <author>横川浩二</author>
  </authors>
  <commentList>
    <comment ref="D7" authorId="0" shapeId="0" xr:uid="{00000000-0006-0000-0000-000001000000}">
      <text>
        <r>
          <rPr>
            <b/>
            <sz val="11"/>
            <color indexed="10"/>
            <rFont val="ＭＳ Ｐゴシック"/>
            <family val="3"/>
            <charset val="128"/>
          </rPr>
          <t>機械本体の価額（税抜、円）を、半角数字で記入してください。千円単位としてください。</t>
        </r>
      </text>
    </comment>
    <comment ref="D8" authorId="0" shapeId="0" xr:uid="{00000000-0006-0000-0000-000002000000}">
      <text>
        <r>
          <rPr>
            <b/>
            <sz val="11"/>
            <color indexed="10"/>
            <rFont val="ＭＳ Ｐゴシック"/>
            <family val="3"/>
            <charset val="128"/>
          </rPr>
          <t>その他の経費（据付工事費、搬送費等＝補助対象とならない経費）を含めてリースを希望される場合に、その額（税抜、円）を半角数字で記入してください。</t>
        </r>
      </text>
    </comment>
    <comment ref="D10" authorId="1" shapeId="0" xr:uid="{C9971773-C630-4FBC-BB37-312821FA476F}">
      <text>
        <r>
          <rPr>
            <b/>
            <sz val="11"/>
            <color indexed="81"/>
            <rFont val="MS P ゴシック"/>
            <family val="3"/>
            <charset val="128"/>
          </rPr>
          <t>補助金の額（税抜）を記入してください。</t>
        </r>
      </text>
    </comment>
    <comment ref="F12" authorId="1" shapeId="0" xr:uid="{D10C4DA4-8EF2-4EBF-825E-804D0A98E654}">
      <text>
        <r>
          <rPr>
            <b/>
            <sz val="10"/>
            <color indexed="10"/>
            <rFont val="MS P ゴシック"/>
            <family val="3"/>
            <charset val="128"/>
          </rPr>
          <t>譲渡価額について、
　　①従来の取得価額の10％を希望する場合　⇒「0.1（半角数字）」
　　②譲渡価額なしを希望される場合　⇒「0（半角数字）」
　　　　　　　　　　　　をプルダウンリストから選択してください。</t>
        </r>
      </text>
    </comment>
    <comment ref="D13" authorId="0" shapeId="0" xr:uid="{00000000-0006-0000-0000-000005000000}">
      <text>
        <r>
          <rPr>
            <b/>
            <sz val="11"/>
            <color indexed="81"/>
            <rFont val="ＭＳ Ｐゴシック"/>
            <family val="3"/>
            <charset val="128"/>
          </rPr>
          <t>貸付期間年数について、
　・畜産クラスター事業の場合⇒「1～7（半角数字）」を記入してください。
　・畜産ICT事業・楽酪GO事業の場合⇒「5～7（半角数字）」を記入してください。</t>
        </r>
      </text>
    </comment>
    <comment ref="D14" authorId="0" shapeId="0" xr:uid="{00000000-0006-0000-0000-000006000000}">
      <text>
        <r>
          <rPr>
            <b/>
            <sz val="11"/>
            <color indexed="81"/>
            <rFont val="ＭＳ Ｐゴシック"/>
            <family val="3"/>
            <charset val="128"/>
          </rPr>
          <t>貸付開始年月日のみ半角で記入してください。
   【例】　2022年10月貸付け開始の場合、半角で「2022/10」と記入。</t>
        </r>
      </text>
    </comment>
    <comment ref="D15" authorId="0" shapeId="0" xr:uid="{00000000-0006-0000-0000-000007000000}">
      <text>
        <r>
          <rPr>
            <b/>
            <sz val="11"/>
            <color indexed="81"/>
            <rFont val="ＭＳ Ｐゴシック"/>
            <family val="3"/>
            <charset val="128"/>
          </rPr>
          <t>　右表に該当する機械施設の番号（1～7（半角数字））を記入してください。
【例】
　トラクターの場合 :「1（半角数字）」と記入。
  バルククーラーの場合：「4（半角数字）」と記入
   なお、動産保険料の計算が不要な場合は、記入しなくても構いません。
（この場合、計算書の動産保険料は、「α」と表示されます。）</t>
        </r>
      </text>
    </comment>
    <comment ref="C50" authorId="0" shapeId="0" xr:uid="{00000000-0006-0000-0000-000008000000}">
      <text>
        <r>
          <rPr>
            <b/>
            <sz val="9"/>
            <color indexed="81"/>
            <rFont val="ＭＳ Ｐゴシック"/>
            <family val="3"/>
            <charset val="128"/>
          </rPr>
          <t>第１回目の支払貸付料＝購入価額　－　（第２回から最終まで＋譲渡価額）</t>
        </r>
      </text>
    </comment>
    <comment ref="D50" authorId="0" shapeId="0" xr:uid="{00000000-0006-0000-0000-000009000000}">
      <text>
        <r>
          <rPr>
            <b/>
            <sz val="9"/>
            <color indexed="81"/>
            <rFont val="ＭＳ Ｐゴシック"/>
            <family val="3"/>
            <charset val="128"/>
          </rPr>
          <t>=INT((補助残取得価額-譲渡価額)/（貸付年数*2）)　　にすべき
（補助残取得価額×0.9では１円ずれることあり）</t>
        </r>
      </text>
    </comment>
    <comment ref="D64" authorId="0" shapeId="0" xr:uid="{00000000-0006-0000-0000-00000A000000}">
      <text>
        <r>
          <rPr>
            <b/>
            <sz val="9"/>
            <color indexed="81"/>
            <rFont val="ＭＳ Ｐゴシック"/>
            <family val="3"/>
            <charset val="128"/>
          </rPr>
          <t>第1回目の支払い時の貸付月数に係る掛数</t>
        </r>
      </text>
    </comment>
    <comment ref="E64" authorId="0" shapeId="0" xr:uid="{00000000-0006-0000-0000-00000B000000}">
      <text>
        <r>
          <rPr>
            <b/>
            <sz val="9"/>
            <color indexed="81"/>
            <rFont val="ＭＳ Ｐゴシック"/>
            <family val="3"/>
            <charset val="128"/>
          </rPr>
          <t>最終回の支払時の貸付月数に係る掛数</t>
        </r>
      </text>
    </comment>
    <comment ref="H64" authorId="0" shapeId="0" xr:uid="{00000000-0006-0000-0000-00000C000000}">
      <text>
        <r>
          <rPr>
            <b/>
            <sz val="9"/>
            <color indexed="81"/>
            <rFont val="ＭＳ Ｐゴシック"/>
            <family val="3"/>
            <charset val="128"/>
          </rPr>
          <t>貸付月が、４月、１０月のときは０、それ以外は１</t>
        </r>
      </text>
    </comment>
    <comment ref="I64" authorId="0" shapeId="0" xr:uid="{00000000-0006-0000-0000-00000D000000}">
      <text>
        <r>
          <rPr>
            <b/>
            <sz val="9"/>
            <color indexed="81"/>
            <rFont val="ＭＳ Ｐゴシック"/>
            <family val="3"/>
            <charset val="128"/>
          </rPr>
          <t>支払回数</t>
        </r>
      </text>
    </comment>
  </commentList>
</comments>
</file>

<file path=xl/sharedStrings.xml><?xml version="1.0" encoding="utf-8"?>
<sst xmlns="http://schemas.openxmlformats.org/spreadsheetml/2006/main" count="145" uniqueCount="106">
  <si>
    <t>月（貸付開始）</t>
  </si>
  <si>
    <t>1回目</t>
  </si>
  <si>
    <t>2回目</t>
  </si>
  <si>
    <t>3回目</t>
  </si>
  <si>
    <t>4回目</t>
  </si>
  <si>
    <t>5回目</t>
  </si>
  <si>
    <t>6回目</t>
  </si>
  <si>
    <t>7回目</t>
  </si>
  <si>
    <t>8回目</t>
  </si>
  <si>
    <t>9回目</t>
  </si>
  <si>
    <t>10回目</t>
  </si>
  <si>
    <t>11回目</t>
  </si>
  <si>
    <t>12回目</t>
  </si>
  <si>
    <t>13回目</t>
  </si>
  <si>
    <t>14回目</t>
  </si>
  <si>
    <t>15回目</t>
  </si>
  <si>
    <t>計</t>
  </si>
  <si>
    <t>残　債</t>
  </si>
  <si>
    <t>年</t>
    <rPh sb="0" eb="1">
      <t>ネン</t>
    </rPh>
    <phoneticPr fontId="17"/>
  </si>
  <si>
    <t>円</t>
    <rPh sb="0" eb="1">
      <t>エン</t>
    </rPh>
    <phoneticPr fontId="17"/>
  </si>
  <si>
    <t>貸付機械施設</t>
    <rPh sb="0" eb="2">
      <t>カシツケ</t>
    </rPh>
    <rPh sb="2" eb="4">
      <t>キカイ</t>
    </rPh>
    <rPh sb="4" eb="6">
      <t>シセツ</t>
    </rPh>
    <phoneticPr fontId="17"/>
  </si>
  <si>
    <t>運搬用機械
（自走式のもの）</t>
    <rPh sb="0" eb="3">
      <t>ウンパンヨウ</t>
    </rPh>
    <rPh sb="3" eb="5">
      <t>キカイ</t>
    </rPh>
    <rPh sb="7" eb="10">
      <t>ジソウシキ</t>
    </rPh>
    <phoneticPr fontId="17"/>
  </si>
  <si>
    <t>精密電子機器</t>
    <rPh sb="0" eb="2">
      <t>セイミツ</t>
    </rPh>
    <rPh sb="2" eb="4">
      <t>デンシ</t>
    </rPh>
    <rPh sb="4" eb="6">
      <t>キキ</t>
    </rPh>
    <phoneticPr fontId="17"/>
  </si>
  <si>
    <t>食肉・鶏卵処理関係機器
（「1」、「2」以外）</t>
    <rPh sb="0" eb="2">
      <t>ショクニク</t>
    </rPh>
    <rPh sb="3" eb="5">
      <t>ケイラン</t>
    </rPh>
    <rPh sb="5" eb="7">
      <t>ショリ</t>
    </rPh>
    <rPh sb="7" eb="9">
      <t>カンケイ</t>
    </rPh>
    <rPh sb="9" eb="11">
      <t>キキ</t>
    </rPh>
    <rPh sb="20" eb="22">
      <t>イガイ</t>
    </rPh>
    <phoneticPr fontId="17"/>
  </si>
  <si>
    <t>番号</t>
    <rPh sb="0" eb="2">
      <t>バンゴウ</t>
    </rPh>
    <phoneticPr fontId="17"/>
  </si>
  <si>
    <t>分類</t>
    <rPh sb="0" eb="2">
      <t>ブンルイ</t>
    </rPh>
    <phoneticPr fontId="17"/>
  </si>
  <si>
    <t>機械施設名</t>
    <rPh sb="0" eb="2">
      <t>キカイ</t>
    </rPh>
    <rPh sb="2" eb="4">
      <t>シセツ</t>
    </rPh>
    <rPh sb="4" eb="5">
      <t>メイ</t>
    </rPh>
    <phoneticPr fontId="17"/>
  </si>
  <si>
    <t>ブルドーザー、トラクター、フォークリフト、動力運搬車、ショベルローダー、散水車、その他自走式機具類
（ただし、道路運送車両法に規定する登録、車両番号の指定又は市町村長交付の標識を受けるものは除く。）</t>
    <rPh sb="21" eb="23">
      <t>ドウリョク</t>
    </rPh>
    <rPh sb="23" eb="26">
      <t>ウンパンシャ</t>
    </rPh>
    <rPh sb="36" eb="39">
      <t>サンスイシャ</t>
    </rPh>
    <rPh sb="42" eb="43">
      <t>タ</t>
    </rPh>
    <rPh sb="43" eb="46">
      <t>ジソウシキ</t>
    </rPh>
    <rPh sb="46" eb="48">
      <t>キグ</t>
    </rPh>
    <rPh sb="48" eb="49">
      <t>ルイ</t>
    </rPh>
    <rPh sb="55" eb="57">
      <t>ドウロ</t>
    </rPh>
    <rPh sb="57" eb="59">
      <t>ウンソウ</t>
    </rPh>
    <rPh sb="59" eb="61">
      <t>シャリョウ</t>
    </rPh>
    <rPh sb="61" eb="62">
      <t>ホウ</t>
    </rPh>
    <rPh sb="63" eb="65">
      <t>キテイ</t>
    </rPh>
    <rPh sb="67" eb="69">
      <t>トウロク</t>
    </rPh>
    <rPh sb="70" eb="72">
      <t>シャリョウ</t>
    </rPh>
    <rPh sb="72" eb="74">
      <t>バンゴウ</t>
    </rPh>
    <rPh sb="75" eb="77">
      <t>シテイ</t>
    </rPh>
    <rPh sb="77" eb="78">
      <t>マタ</t>
    </rPh>
    <rPh sb="79" eb="81">
      <t>シチョウ</t>
    </rPh>
    <rPh sb="81" eb="83">
      <t>ソンチョウ</t>
    </rPh>
    <rPh sb="83" eb="85">
      <t>コウフ</t>
    </rPh>
    <rPh sb="86" eb="88">
      <t>ヒョウシキ</t>
    </rPh>
    <rPh sb="89" eb="90">
      <t>ウ</t>
    </rPh>
    <rPh sb="95" eb="96">
      <t>ノゾ</t>
    </rPh>
    <phoneticPr fontId="17"/>
  </si>
  <si>
    <t>電子計量器、電子式セリ機、電子式自動生乳検査機類</t>
    <rPh sb="0" eb="2">
      <t>デンシ</t>
    </rPh>
    <rPh sb="2" eb="5">
      <t>ケイリョウキ</t>
    </rPh>
    <rPh sb="6" eb="8">
      <t>デンシ</t>
    </rPh>
    <rPh sb="8" eb="9">
      <t>シキ</t>
    </rPh>
    <rPh sb="11" eb="12">
      <t>キ</t>
    </rPh>
    <rPh sb="13" eb="15">
      <t>デンシ</t>
    </rPh>
    <rPh sb="15" eb="16">
      <t>シキ</t>
    </rPh>
    <rPh sb="16" eb="18">
      <t>ジドウ</t>
    </rPh>
    <rPh sb="18" eb="20">
      <t>セイニュウ</t>
    </rPh>
    <rPh sb="20" eb="22">
      <t>ケンサ</t>
    </rPh>
    <rPh sb="22" eb="23">
      <t>キ</t>
    </rPh>
    <rPh sb="23" eb="24">
      <t>ルイ</t>
    </rPh>
    <phoneticPr fontId="17"/>
  </si>
  <si>
    <t>冷凍機、皮剥機、ベルトコンベアー、エアーナイフ、スライサー類</t>
    <rPh sb="0" eb="3">
      <t>レイトウキ</t>
    </rPh>
    <rPh sb="4" eb="5">
      <t>カワ</t>
    </rPh>
    <rPh sb="5" eb="6">
      <t>ハ</t>
    </rPh>
    <rPh sb="6" eb="7">
      <t>キ</t>
    </rPh>
    <rPh sb="29" eb="30">
      <t>ルイ</t>
    </rPh>
    <phoneticPr fontId="17"/>
  </si>
  <si>
    <t>上記1,2,3以外の機器</t>
    <rPh sb="0" eb="2">
      <t>ジョウキ</t>
    </rPh>
    <rPh sb="7" eb="9">
      <t>イガイ</t>
    </rPh>
    <rPh sb="10" eb="12">
      <t>キキ</t>
    </rPh>
    <phoneticPr fontId="17"/>
  </si>
  <si>
    <t>据付固定式のもの</t>
    <rPh sb="0" eb="2">
      <t>スエツケ</t>
    </rPh>
    <rPh sb="2" eb="4">
      <t>コテイ</t>
    </rPh>
    <rPh sb="4" eb="5">
      <t>シキ</t>
    </rPh>
    <phoneticPr fontId="17"/>
  </si>
  <si>
    <t>据付固定以外のもの</t>
    <rPh sb="0" eb="2">
      <t>スエツケ</t>
    </rPh>
    <rPh sb="2" eb="4">
      <t>コテイ</t>
    </rPh>
    <rPh sb="4" eb="6">
      <t>イガイ</t>
    </rPh>
    <phoneticPr fontId="17"/>
  </si>
  <si>
    <t>バルククーラー、搾乳ロボット、パイプラインミルカー、ミルキングパーラー、孵卵器、保存器、カーテン巻上げ機、簡易式厩舎、その他据置固定式のもの</t>
    <rPh sb="8" eb="10">
      <t>サクニュウ</t>
    </rPh>
    <rPh sb="36" eb="39">
      <t>フランキ</t>
    </rPh>
    <rPh sb="40" eb="42">
      <t>ホゾン</t>
    </rPh>
    <rPh sb="42" eb="43">
      <t>キ</t>
    </rPh>
    <rPh sb="48" eb="49">
      <t>マ</t>
    </rPh>
    <rPh sb="49" eb="50">
      <t>ア</t>
    </rPh>
    <rPh sb="51" eb="52">
      <t>キ</t>
    </rPh>
    <rPh sb="53" eb="55">
      <t>カンイ</t>
    </rPh>
    <rPh sb="55" eb="56">
      <t>シキ</t>
    </rPh>
    <rPh sb="56" eb="58">
      <t>キュウシャ</t>
    </rPh>
    <rPh sb="61" eb="62">
      <t>タ</t>
    </rPh>
    <rPh sb="62" eb="64">
      <t>スエオキ</t>
    </rPh>
    <rPh sb="64" eb="66">
      <t>コテイ</t>
    </rPh>
    <rPh sb="66" eb="67">
      <t>シキ</t>
    </rPh>
    <phoneticPr fontId="17"/>
  </si>
  <si>
    <t>プラウ、ハロー、ブロードキャスター、ハーベスター、フロントローダー、ロールベーラー、ベールグラブ、ラッピングマシン、パケットミルカー、その他据置固定式以外のもの</t>
    <rPh sb="69" eb="70">
      <t>タ</t>
    </rPh>
    <rPh sb="70" eb="72">
      <t>スエオキ</t>
    </rPh>
    <rPh sb="72" eb="74">
      <t>コテイ</t>
    </rPh>
    <rPh sb="74" eb="75">
      <t>シキ</t>
    </rPh>
    <rPh sb="75" eb="77">
      <t>イガイ</t>
    </rPh>
    <phoneticPr fontId="17"/>
  </si>
  <si>
    <t>複合投票システム装置、オッズ盤、発馬機、ターフビジョン装置、中型映像装置類</t>
    <rPh sb="0" eb="2">
      <t>フクゴウ</t>
    </rPh>
    <rPh sb="2" eb="4">
      <t>トウヒョウ</t>
    </rPh>
    <rPh sb="8" eb="10">
      <t>ソウチ</t>
    </rPh>
    <rPh sb="14" eb="15">
      <t>バン</t>
    </rPh>
    <rPh sb="16" eb="18">
      <t>ハツバ</t>
    </rPh>
    <rPh sb="18" eb="19">
      <t>キ</t>
    </rPh>
    <rPh sb="27" eb="29">
      <t>ソウチ</t>
    </rPh>
    <rPh sb="30" eb="32">
      <t>チュウガタ</t>
    </rPh>
    <rPh sb="32" eb="34">
      <t>エイゾウ</t>
    </rPh>
    <rPh sb="34" eb="36">
      <t>ソウチ</t>
    </rPh>
    <rPh sb="36" eb="37">
      <t>ルイ</t>
    </rPh>
    <phoneticPr fontId="17"/>
  </si>
  <si>
    <t>これらの装置のうち据置固定式以外のもの</t>
    <rPh sb="4" eb="6">
      <t>ソウチ</t>
    </rPh>
    <rPh sb="9" eb="11">
      <t>スエオキ</t>
    </rPh>
    <rPh sb="11" eb="13">
      <t>コテイ</t>
    </rPh>
    <rPh sb="13" eb="14">
      <t>シキ</t>
    </rPh>
    <rPh sb="14" eb="16">
      <t>イガイ</t>
    </rPh>
    <phoneticPr fontId="17"/>
  </si>
  <si>
    <t>○　貸付期間別残価率表</t>
    <rPh sb="2" eb="4">
      <t>カシツケ</t>
    </rPh>
    <rPh sb="4" eb="6">
      <t>キカン</t>
    </rPh>
    <rPh sb="6" eb="7">
      <t>ベツ</t>
    </rPh>
    <rPh sb="7" eb="9">
      <t>ザンカ</t>
    </rPh>
    <rPh sb="9" eb="10">
      <t>リツ</t>
    </rPh>
    <rPh sb="10" eb="11">
      <t>ヒョウ</t>
    </rPh>
    <phoneticPr fontId="17"/>
  </si>
  <si>
    <t>貸付期間（年）</t>
    <rPh sb="0" eb="2">
      <t>カシツケ</t>
    </rPh>
    <rPh sb="2" eb="4">
      <t>キカン</t>
    </rPh>
    <rPh sb="5" eb="6">
      <t>ネン</t>
    </rPh>
    <phoneticPr fontId="17"/>
  </si>
  <si>
    <t>残価率</t>
    <rPh sb="0" eb="2">
      <t>ザンカ</t>
    </rPh>
    <rPh sb="2" eb="3">
      <t>リツ</t>
    </rPh>
    <phoneticPr fontId="17"/>
  </si>
  <si>
    <t>支払合計額</t>
    <phoneticPr fontId="17"/>
  </si>
  <si>
    <t>支払済額の累計</t>
    <rPh sb="0" eb="2">
      <t>シハライ</t>
    </rPh>
    <rPh sb="2" eb="3">
      <t>ズ</t>
    </rPh>
    <rPh sb="3" eb="4">
      <t>ガク</t>
    </rPh>
    <rPh sb="5" eb="7">
      <t>ルイケイ</t>
    </rPh>
    <phoneticPr fontId="17"/>
  </si>
  <si>
    <t>貸付料の消費税</t>
    <rPh sb="0" eb="2">
      <t>カシツケ</t>
    </rPh>
    <rPh sb="2" eb="3">
      <t>リョウ</t>
    </rPh>
    <rPh sb="4" eb="7">
      <t>ショウヒゼイ</t>
    </rPh>
    <phoneticPr fontId="17"/>
  </si>
  <si>
    <t>附加貸付料</t>
    <rPh sb="0" eb="2">
      <t>フカ</t>
    </rPh>
    <rPh sb="2" eb="4">
      <t>カシツケ</t>
    </rPh>
    <rPh sb="4" eb="5">
      <t>リョウ</t>
    </rPh>
    <phoneticPr fontId="17"/>
  </si>
  <si>
    <t>譲渡価額</t>
    <rPh sb="0" eb="2">
      <t>ジョウト</t>
    </rPh>
    <rPh sb="2" eb="4">
      <t>カガク</t>
    </rPh>
    <phoneticPr fontId="17"/>
  </si>
  <si>
    <t>支払回次</t>
    <rPh sb="0" eb="2">
      <t>シハライ</t>
    </rPh>
    <rPh sb="2" eb="4">
      <t>カイジ</t>
    </rPh>
    <rPh sb="3" eb="4">
      <t>ジ</t>
    </rPh>
    <phoneticPr fontId="17"/>
  </si>
  <si>
    <t>貸付料支払額</t>
    <rPh sb="0" eb="2">
      <t>カシツケ</t>
    </rPh>
    <rPh sb="2" eb="3">
      <t>リョウ</t>
    </rPh>
    <rPh sb="3" eb="5">
      <t>シハライ</t>
    </rPh>
    <rPh sb="5" eb="6">
      <t>ガク</t>
    </rPh>
    <phoneticPr fontId="17"/>
  </si>
  <si>
    <t>～</t>
    <phoneticPr fontId="17"/>
  </si>
  <si>
    <t>末日納付</t>
    <rPh sb="0" eb="2">
      <t>マツジツ</t>
    </rPh>
    <rPh sb="2" eb="4">
      <t>ノウフ</t>
    </rPh>
    <phoneticPr fontId="17"/>
  </si>
  <si>
    <t>区　　分</t>
    <rPh sb="0" eb="1">
      <t>ク</t>
    </rPh>
    <rPh sb="3" eb="4">
      <t>ブン</t>
    </rPh>
    <phoneticPr fontId="17"/>
  </si>
  <si>
    <t>計</t>
    <rPh sb="0" eb="1">
      <t>ケイ</t>
    </rPh>
    <phoneticPr fontId="17"/>
  </si>
  <si>
    <t>基本貸付料</t>
    <rPh sb="0" eb="2">
      <t>キホン</t>
    </rPh>
    <rPh sb="2" eb="4">
      <t>カシツケ</t>
    </rPh>
    <rPh sb="4" eb="5">
      <t>リョウ</t>
    </rPh>
    <phoneticPr fontId="17"/>
  </si>
  <si>
    <t>最終回の基本貸付料</t>
    <rPh sb="0" eb="2">
      <t>サイシュウ</t>
    </rPh>
    <rPh sb="2" eb="3">
      <t>カイ</t>
    </rPh>
    <rPh sb="4" eb="6">
      <t>キホン</t>
    </rPh>
    <rPh sb="6" eb="8">
      <t>カシツケ</t>
    </rPh>
    <rPh sb="8" eb="9">
      <t>リョウ</t>
    </rPh>
    <phoneticPr fontId="17"/>
  </si>
  <si>
    <t>基本貸付料の消費税</t>
    <rPh sb="0" eb="2">
      <t>キホン</t>
    </rPh>
    <rPh sb="2" eb="4">
      <t>カシツケ</t>
    </rPh>
    <rPh sb="4" eb="5">
      <t>リョウ</t>
    </rPh>
    <rPh sb="6" eb="9">
      <t>ショウヒゼイ</t>
    </rPh>
    <phoneticPr fontId="17"/>
  </si>
  <si>
    <t>基本貸付料（48行目の数字が「0」の場合、数字が入る。）</t>
    <rPh sb="0" eb="2">
      <t>キホン</t>
    </rPh>
    <rPh sb="2" eb="4">
      <t>カシツケ</t>
    </rPh>
    <rPh sb="4" eb="5">
      <t>リョウ</t>
    </rPh>
    <rPh sb="8" eb="9">
      <t>ギョウ</t>
    </rPh>
    <rPh sb="9" eb="10">
      <t>メ</t>
    </rPh>
    <rPh sb="11" eb="13">
      <t>スウジ</t>
    </rPh>
    <rPh sb="18" eb="20">
      <t>バアイ</t>
    </rPh>
    <rPh sb="21" eb="23">
      <t>スウジ</t>
    </rPh>
    <rPh sb="24" eb="25">
      <t>ハイ</t>
    </rPh>
    <phoneticPr fontId="17"/>
  </si>
  <si>
    <t>　「1」か「0」</t>
    <phoneticPr fontId="17"/>
  </si>
  <si>
    <t>貸付期間（年数）　：　</t>
    <rPh sb="0" eb="2">
      <t>カシツケ</t>
    </rPh>
    <rPh sb="2" eb="4">
      <t>キカン</t>
    </rPh>
    <rPh sb="5" eb="7">
      <t>ネンスウ</t>
    </rPh>
    <phoneticPr fontId="17"/>
  </si>
  <si>
    <t>貸付期間（年月日）　：　</t>
    <rPh sb="0" eb="2">
      <t>カシツケ</t>
    </rPh>
    <rPh sb="2" eb="4">
      <t>キカン</t>
    </rPh>
    <rPh sb="5" eb="8">
      <t>ネンガッピ</t>
    </rPh>
    <phoneticPr fontId="17"/>
  </si>
  <si>
    <t>基本貸付料に係る
消費税額</t>
    <rPh sb="0" eb="2">
      <t>キホン</t>
    </rPh>
    <rPh sb="2" eb="4">
      <t>カシツケ</t>
    </rPh>
    <rPh sb="4" eb="5">
      <t>リョウ</t>
    </rPh>
    <rPh sb="6" eb="7">
      <t>カカ</t>
    </rPh>
    <rPh sb="12" eb="13">
      <t>ガク</t>
    </rPh>
    <phoneticPr fontId="17"/>
  </si>
  <si>
    <t>譲渡価額に係る
消費税額</t>
    <rPh sb="0" eb="2">
      <t>ジョウト</t>
    </rPh>
    <rPh sb="2" eb="4">
      <t>カガク</t>
    </rPh>
    <rPh sb="5" eb="6">
      <t>カカ</t>
    </rPh>
    <rPh sb="11" eb="12">
      <t>ガク</t>
    </rPh>
    <phoneticPr fontId="17"/>
  </si>
  <si>
    <t>【動産総合保険　保険料率】</t>
    <rPh sb="1" eb="3">
      <t>ドウサン</t>
    </rPh>
    <rPh sb="3" eb="5">
      <t>ソウゴウ</t>
    </rPh>
    <rPh sb="5" eb="7">
      <t>ホケン</t>
    </rPh>
    <rPh sb="8" eb="11">
      <t>ホケンリョウ</t>
    </rPh>
    <rPh sb="11" eb="12">
      <t>リツ</t>
    </rPh>
    <phoneticPr fontId="17"/>
  </si>
  <si>
    <t>信用保険料</t>
    <rPh sb="0" eb="2">
      <t>シンヨウ</t>
    </rPh>
    <phoneticPr fontId="17"/>
  </si>
  <si>
    <t>動産総合保険料</t>
    <rPh sb="0" eb="2">
      <t>ドウサン</t>
    </rPh>
    <rPh sb="2" eb="4">
      <t>ソウゴウ</t>
    </rPh>
    <phoneticPr fontId="17"/>
  </si>
  <si>
    <t>支払終了</t>
    <rPh sb="0" eb="2">
      <t>シハラ</t>
    </rPh>
    <rPh sb="2" eb="4">
      <t>シュウリョウ</t>
    </rPh>
    <phoneticPr fontId="17"/>
  </si>
  <si>
    <t>附加貸付料＝</t>
    <rPh sb="0" eb="2">
      <t>フカ</t>
    </rPh>
    <rPh sb="2" eb="4">
      <t>カシツケ</t>
    </rPh>
    <rPh sb="4" eb="5">
      <t>リョウ</t>
    </rPh>
    <phoneticPr fontId="17"/>
  </si>
  <si>
    <t>　この支払リース料等計算書は、Excelを使用し、試算用に作成したものです。</t>
    <rPh sb="3" eb="5">
      <t>シハライ</t>
    </rPh>
    <rPh sb="8" eb="9">
      <t>リョウ</t>
    </rPh>
    <rPh sb="9" eb="10">
      <t>トウ</t>
    </rPh>
    <rPh sb="10" eb="13">
      <t>ケイサンショ</t>
    </rPh>
    <rPh sb="21" eb="23">
      <t>シヨウ</t>
    </rPh>
    <rPh sb="25" eb="27">
      <t>シサン</t>
    </rPh>
    <rPh sb="27" eb="28">
      <t>ヨウ</t>
    </rPh>
    <rPh sb="29" eb="31">
      <t>サクセイ</t>
    </rPh>
    <phoneticPr fontId="23"/>
  </si>
  <si>
    <t>公益財団法人畜産近代化リース協会</t>
    <rPh sb="0" eb="16">
      <t>ザイ</t>
    </rPh>
    <phoneticPr fontId="17"/>
  </si>
  <si>
    <r>
      <t xml:space="preserve">附加貸付料
</t>
    </r>
    <r>
      <rPr>
        <b/>
        <sz val="8"/>
        <color indexed="8"/>
        <rFont val="ＭＳ Ｐゴシック"/>
        <family val="3"/>
        <charset val="128"/>
      </rPr>
      <t xml:space="preserve">（畜産関係施設のみ）
</t>
    </r>
    <r>
      <rPr>
        <b/>
        <sz val="6"/>
        <color indexed="8"/>
        <rFont val="ＭＳ Ｐゴシック"/>
        <family val="3"/>
        <charset val="128"/>
      </rPr>
      <t>（乗馬・地方競馬用施設リースは無利子）</t>
    </r>
    <rPh sb="0" eb="2">
      <t>フカ</t>
    </rPh>
    <rPh sb="7" eb="9">
      <t>チクサン</t>
    </rPh>
    <rPh sb="9" eb="11">
      <t>カンケイ</t>
    </rPh>
    <rPh sb="11" eb="13">
      <t>シセツ</t>
    </rPh>
    <rPh sb="18" eb="20">
      <t>ジョウバ</t>
    </rPh>
    <rPh sb="21" eb="23">
      <t>チホウ</t>
    </rPh>
    <rPh sb="23" eb="26">
      <t>ケイバヨウ</t>
    </rPh>
    <rPh sb="26" eb="28">
      <t>シセツ</t>
    </rPh>
    <rPh sb="32" eb="35">
      <t>ムリシ</t>
    </rPh>
    <phoneticPr fontId="17"/>
  </si>
  <si>
    <t>～H26.3.31</t>
    <phoneticPr fontId="17"/>
  </si>
  <si>
    <t>消費税率</t>
    <rPh sb="0" eb="3">
      <t>ショウヒゼイ</t>
    </rPh>
    <rPh sb="3" eb="4">
      <t>リツ</t>
    </rPh>
    <phoneticPr fontId="17"/>
  </si>
  <si>
    <t>⇒</t>
    <phoneticPr fontId="17"/>
  </si>
  <si>
    <t>補助金の額（税抜、円）　：　</t>
    <rPh sb="0" eb="3">
      <t>ホジョキン</t>
    </rPh>
    <rPh sb="4" eb="5">
      <t>ガク</t>
    </rPh>
    <rPh sb="6" eb="7">
      <t>ゼイ</t>
    </rPh>
    <rPh sb="7" eb="8">
      <t>ヌ</t>
    </rPh>
    <rPh sb="9" eb="10">
      <t>エン</t>
    </rPh>
    <phoneticPr fontId="17"/>
  </si>
  <si>
    <t>補助残取得価額（税抜、円）　：　</t>
    <rPh sb="0" eb="2">
      <t>ホジョ</t>
    </rPh>
    <rPh sb="2" eb="3">
      <t>ザン</t>
    </rPh>
    <rPh sb="3" eb="5">
      <t>シュトク</t>
    </rPh>
    <rPh sb="5" eb="7">
      <t>カガク</t>
    </rPh>
    <rPh sb="8" eb="9">
      <t>ゼイ</t>
    </rPh>
    <rPh sb="9" eb="10">
      <t>ヌ</t>
    </rPh>
    <rPh sb="11" eb="12">
      <t>エン</t>
    </rPh>
    <phoneticPr fontId="17"/>
  </si>
  <si>
    <t>（基本貸付料計＋譲渡価額）確認のため⇒</t>
    <rPh sb="1" eb="3">
      <t>キホン</t>
    </rPh>
    <rPh sb="3" eb="5">
      <t>カシツケ</t>
    </rPh>
    <rPh sb="5" eb="6">
      <t>リョウ</t>
    </rPh>
    <rPh sb="6" eb="7">
      <t>ケイ</t>
    </rPh>
    <rPh sb="8" eb="10">
      <t>ジョウト</t>
    </rPh>
    <rPh sb="10" eb="12">
      <t>カガク</t>
    </rPh>
    <rPh sb="13" eb="15">
      <t>カクニン</t>
    </rPh>
    <phoneticPr fontId="17"/>
  </si>
  <si>
    <t>１か０（信用保険計算用）</t>
    <rPh sb="4" eb="6">
      <t>シンヨウ</t>
    </rPh>
    <rPh sb="6" eb="8">
      <t>ホケン</t>
    </rPh>
    <rPh sb="8" eb="10">
      <t>ケイサン</t>
    </rPh>
    <rPh sb="10" eb="11">
      <t>ヨウ</t>
    </rPh>
    <phoneticPr fontId="17"/>
  </si>
  <si>
    <t>１か０（貸付料等計算用）</t>
    <rPh sb="4" eb="6">
      <t>カシツケ</t>
    </rPh>
    <rPh sb="6" eb="7">
      <t>リョウ</t>
    </rPh>
    <rPh sb="7" eb="8">
      <t>トウ</t>
    </rPh>
    <rPh sb="8" eb="11">
      <t>ケイサンヨウ</t>
    </rPh>
    <phoneticPr fontId="17"/>
  </si>
  <si>
    <t>信用保険計算用⇒</t>
    <rPh sb="0" eb="2">
      <t>シンヨウ</t>
    </rPh>
    <rPh sb="2" eb="4">
      <t>ホケン</t>
    </rPh>
    <rPh sb="4" eb="6">
      <t>ケイサン</t>
    </rPh>
    <rPh sb="6" eb="7">
      <t>ヨウ</t>
    </rPh>
    <phoneticPr fontId="17"/>
  </si>
  <si>
    <t>貸付料等計算用⇒</t>
    <rPh sb="0" eb="2">
      <t>カシツケ</t>
    </rPh>
    <rPh sb="2" eb="3">
      <t>リョウ</t>
    </rPh>
    <rPh sb="3" eb="4">
      <t>トウ</t>
    </rPh>
    <rPh sb="4" eb="6">
      <t>ケイサン</t>
    </rPh>
    <rPh sb="6" eb="7">
      <t>ヨウ</t>
    </rPh>
    <phoneticPr fontId="17"/>
  </si>
  <si>
    <t>信用保険計算用⇒</t>
    <rPh sb="0" eb="2">
      <t>シンヨウ</t>
    </rPh>
    <rPh sb="2" eb="4">
      <t>ホケン</t>
    </rPh>
    <rPh sb="4" eb="7">
      <t>ケイサンヨウ</t>
    </rPh>
    <phoneticPr fontId="17"/>
  </si>
  <si>
    <t>【信用保険　保険金支払上限額及び保険期間　一覧】</t>
    <rPh sb="1" eb="3">
      <t>シンヨウ</t>
    </rPh>
    <rPh sb="3" eb="5">
      <t>ホケン</t>
    </rPh>
    <rPh sb="6" eb="9">
      <t>ホケンキン</t>
    </rPh>
    <rPh sb="9" eb="11">
      <t>シハラ</t>
    </rPh>
    <rPh sb="11" eb="13">
      <t>ジョウゲン</t>
    </rPh>
    <rPh sb="13" eb="14">
      <t>ガク</t>
    </rPh>
    <rPh sb="14" eb="15">
      <t>オヨ</t>
    </rPh>
    <rPh sb="16" eb="18">
      <t>ホケン</t>
    </rPh>
    <rPh sb="18" eb="20">
      <t>キカン</t>
    </rPh>
    <rPh sb="21" eb="23">
      <t>イチラン</t>
    </rPh>
    <phoneticPr fontId="17"/>
  </si>
  <si>
    <t>【最終貸付年月日に対応する保険金支払上限額及び保険期間】</t>
    <rPh sb="1" eb="3">
      <t>サイシュウ</t>
    </rPh>
    <rPh sb="3" eb="5">
      <t>カシツ</t>
    </rPh>
    <rPh sb="5" eb="8">
      <t>ネンガッピ</t>
    </rPh>
    <rPh sb="9" eb="11">
      <t>タイオウ</t>
    </rPh>
    <phoneticPr fontId="17"/>
  </si>
  <si>
    <t>最終貸付年月日</t>
    <phoneticPr fontId="17"/>
  </si>
  <si>
    <t>保険金支払上限額（円）</t>
    <rPh sb="0" eb="3">
      <t>ホケンキン</t>
    </rPh>
    <rPh sb="3" eb="5">
      <t>シハラ</t>
    </rPh>
    <rPh sb="5" eb="7">
      <t>ジョウゲン</t>
    </rPh>
    <rPh sb="7" eb="8">
      <t>ガク</t>
    </rPh>
    <rPh sb="9" eb="10">
      <t>エン</t>
    </rPh>
    <phoneticPr fontId="17"/>
  </si>
  <si>
    <t>保険期間
（年）</t>
    <rPh sb="0" eb="2">
      <t>ホケン</t>
    </rPh>
    <rPh sb="2" eb="4">
      <t>キカン</t>
    </rPh>
    <rPh sb="6" eb="7">
      <t>ネン</t>
    </rPh>
    <phoneticPr fontId="17"/>
  </si>
  <si>
    <t>保険金支払
上限額（円）</t>
    <rPh sb="0" eb="3">
      <t>ホケンキン</t>
    </rPh>
    <rPh sb="3" eb="5">
      <t>シハラ</t>
    </rPh>
    <rPh sb="6" eb="8">
      <t>ジョウゲン</t>
    </rPh>
    <rPh sb="8" eb="9">
      <t>ガク</t>
    </rPh>
    <rPh sb="10" eb="11">
      <t>エン</t>
    </rPh>
    <phoneticPr fontId="17"/>
  </si>
  <si>
    <t>⇒</t>
    <phoneticPr fontId="17"/>
  </si>
  <si>
    <t>動産総合保険の貸付施設の区分　：　</t>
    <rPh sb="0" eb="2">
      <t>ドウサン</t>
    </rPh>
    <rPh sb="2" eb="4">
      <t>ソウゴウ</t>
    </rPh>
    <rPh sb="4" eb="6">
      <t>ホケン</t>
    </rPh>
    <rPh sb="7" eb="9">
      <t>カシツケ</t>
    </rPh>
    <rPh sb="9" eb="11">
      <t>シセツ</t>
    </rPh>
    <rPh sb="12" eb="14">
      <t>クブン</t>
    </rPh>
    <phoneticPr fontId="17"/>
  </si>
  <si>
    <t>H26.4.1～H31.9.30</t>
    <phoneticPr fontId="17"/>
  </si>
  <si>
    <t>取得価額（税抜、円）　：【Ａ＋Ｂ】　</t>
    <rPh sb="0" eb="2">
      <t>シュトク</t>
    </rPh>
    <rPh sb="2" eb="4">
      <t>カガク</t>
    </rPh>
    <rPh sb="5" eb="6">
      <t>ゼイ</t>
    </rPh>
    <rPh sb="6" eb="7">
      <t>ヌ</t>
    </rPh>
    <rPh sb="8" eb="9">
      <t>エン</t>
    </rPh>
    <phoneticPr fontId="17"/>
  </si>
  <si>
    <t>機械本体の価額（税抜、円）　：【Ａ】</t>
    <rPh sb="0" eb="2">
      <t>キカイ</t>
    </rPh>
    <rPh sb="2" eb="4">
      <t>ホンタイ</t>
    </rPh>
    <rPh sb="5" eb="7">
      <t>カガク</t>
    </rPh>
    <rPh sb="8" eb="9">
      <t>ゼイ</t>
    </rPh>
    <rPh sb="9" eb="10">
      <t>ヌ</t>
    </rPh>
    <rPh sb="11" eb="12">
      <t>エン</t>
    </rPh>
    <phoneticPr fontId="17"/>
  </si>
  <si>
    <t>その他の経費（税抜、円）　：【Ｂ】
（据付工事費、搬送費等）</t>
    <rPh sb="2" eb="3">
      <t>タ</t>
    </rPh>
    <rPh sb="4" eb="6">
      <t>ケイヒ</t>
    </rPh>
    <rPh sb="7" eb="8">
      <t>ゼイ</t>
    </rPh>
    <rPh sb="8" eb="9">
      <t>ヌ</t>
    </rPh>
    <rPh sb="10" eb="11">
      <t>エン</t>
    </rPh>
    <rPh sb="19" eb="21">
      <t>スエツ</t>
    </rPh>
    <rPh sb="21" eb="24">
      <t>コウジヒ</t>
    </rPh>
    <rPh sb="25" eb="27">
      <t>ハンソウ</t>
    </rPh>
    <rPh sb="27" eb="28">
      <t>ヒ</t>
    </rPh>
    <rPh sb="28" eb="29">
      <t>トウ</t>
    </rPh>
    <phoneticPr fontId="17"/>
  </si>
  <si>
    <r>
      <t>円</t>
    </r>
    <r>
      <rPr>
        <b/>
        <sz val="12"/>
        <color indexed="10"/>
        <rFont val="ＭＳ Ｐゴシック"/>
        <family val="3"/>
        <charset val="128"/>
      </rPr>
      <t>（千円単位）</t>
    </r>
    <rPh sb="0" eb="1">
      <t>エン</t>
    </rPh>
    <rPh sb="2" eb="4">
      <t>センエン</t>
    </rPh>
    <rPh sb="4" eb="6">
      <t>タンイ</t>
    </rPh>
    <phoneticPr fontId="17"/>
  </si>
  <si>
    <r>
      <t>円</t>
    </r>
    <r>
      <rPr>
        <b/>
        <sz val="12"/>
        <color rgb="FFFF0000"/>
        <rFont val="ＭＳ Ｐゴシック"/>
        <family val="3"/>
        <charset val="128"/>
      </rPr>
      <t>（補助対象とならない経費）</t>
    </r>
    <rPh sb="0" eb="1">
      <t>エン</t>
    </rPh>
    <rPh sb="2" eb="4">
      <t>ホジョ</t>
    </rPh>
    <rPh sb="4" eb="6">
      <t>タイショウ</t>
    </rPh>
    <rPh sb="11" eb="13">
      <t>ケイヒ</t>
    </rPh>
    <phoneticPr fontId="17"/>
  </si>
  <si>
    <t>【参考】　信用保険（加入は任意）に係る保険料の算出については、ホームページに掲載している「信用保険料等計算書」をご利用ください。</t>
    <rPh sb="1" eb="3">
      <t>サンコウ</t>
    </rPh>
    <rPh sb="5" eb="7">
      <t>シンヨウ</t>
    </rPh>
    <rPh sb="7" eb="9">
      <t>ホケン</t>
    </rPh>
    <rPh sb="10" eb="12">
      <t>カニュウ</t>
    </rPh>
    <rPh sb="13" eb="15">
      <t>ニンイ</t>
    </rPh>
    <rPh sb="17" eb="18">
      <t>カカ</t>
    </rPh>
    <rPh sb="19" eb="22">
      <t>ホケンリョウ</t>
    </rPh>
    <rPh sb="23" eb="25">
      <t>サンシュツ</t>
    </rPh>
    <rPh sb="38" eb="40">
      <t>ケイサイ</t>
    </rPh>
    <rPh sb="45" eb="47">
      <t>シンヨウ</t>
    </rPh>
    <rPh sb="47" eb="49">
      <t>ホケン</t>
    </rPh>
    <rPh sb="49" eb="50">
      <t>リョウ</t>
    </rPh>
    <rPh sb="50" eb="51">
      <t>トウ</t>
    </rPh>
    <rPh sb="51" eb="54">
      <t>ケイサンショ</t>
    </rPh>
    <rPh sb="57" eb="59">
      <t>リヨウ</t>
    </rPh>
    <phoneticPr fontId="17"/>
  </si>
  <si>
    <t>（注） リース協会のリースは、農協等を通じた再貸付（転貸）方式なので、再貸付手数料（機械代の０～2.5%）がかかることがあります。再貸付手数料については、農協等にお問合せください。　</t>
    <rPh sb="0" eb="3">
      <t>チュウ</t>
    </rPh>
    <phoneticPr fontId="17"/>
  </si>
  <si>
    <r>
      <rPr>
        <b/>
        <sz val="8"/>
        <color rgb="FF000000"/>
        <rFont val="ＭＳ Ｐゴシック"/>
        <family val="3"/>
        <charset val="128"/>
      </rPr>
      <t>（補助残取得価額に対する）</t>
    </r>
    <r>
      <rPr>
        <b/>
        <sz val="12"/>
        <color indexed="8"/>
        <rFont val="ＭＳ Ｐゴシック"/>
        <family val="3"/>
        <charset val="128"/>
      </rPr>
      <t>譲渡価額（税抜、円）　：　</t>
    </r>
    <rPh sb="1" eb="4">
      <t>ホジョザン</t>
    </rPh>
    <rPh sb="4" eb="8">
      <t>シュトク</t>
    </rPh>
    <rPh sb="9" eb="10">
      <t>タイ</t>
    </rPh>
    <phoneticPr fontId="17"/>
  </si>
  <si>
    <r>
      <t>　ご使用に際しては、</t>
    </r>
    <r>
      <rPr>
        <b/>
        <sz val="14"/>
        <color indexed="10"/>
        <rFont val="ＭＳ Ｐゴシック"/>
        <family val="3"/>
        <charset val="128"/>
      </rPr>
      <t>「黄色で塗りつぶした部分（７箇所）」のみ</t>
    </r>
    <r>
      <rPr>
        <b/>
        <sz val="14"/>
        <color indexed="8"/>
        <rFont val="ＭＳ Ｐゴシック"/>
        <family val="3"/>
        <charset val="128"/>
      </rPr>
      <t>入力（すべて半角）してください。</t>
    </r>
    <rPh sb="2" eb="4">
      <t>シヨウ</t>
    </rPh>
    <rPh sb="5" eb="6">
      <t>サイ</t>
    </rPh>
    <rPh sb="11" eb="13">
      <t>キイロ</t>
    </rPh>
    <rPh sb="14" eb="15">
      <t>ヌ</t>
    </rPh>
    <rPh sb="20" eb="22">
      <t>ブブン</t>
    </rPh>
    <rPh sb="24" eb="26">
      <t>カショ</t>
    </rPh>
    <rPh sb="30" eb="32">
      <t>ニュウリョク</t>
    </rPh>
    <rPh sb="36" eb="38">
      <t>ハンカク</t>
    </rPh>
    <phoneticPr fontId="23"/>
  </si>
  <si>
    <t>（注）</t>
    <rPh sb="0" eb="3">
      <t>チュウ</t>
    </rPh>
    <phoneticPr fontId="17"/>
  </si>
  <si>
    <t>【参考】　附加貸付料率　　～2022.3.31　 ⇒　1.0%
　　　　　　　　　　　　 　     2022.4.1～　　⇒　0.7％　で計算しています。</t>
    <rPh sb="1" eb="3">
      <t>サンコウ</t>
    </rPh>
    <rPh sb="5" eb="11">
      <t>フカカシツケリョウリツ</t>
    </rPh>
    <phoneticPr fontId="17"/>
  </si>
  <si>
    <t>～R4.3.31</t>
    <phoneticPr fontId="17"/>
  </si>
  <si>
    <t>附加貸付料率</t>
    <rPh sb="0" eb="6">
      <t>フカカシツケリョウリツ</t>
    </rPh>
    <phoneticPr fontId="17"/>
  </si>
  <si>
    <t>R4.4.1～</t>
    <phoneticPr fontId="17"/>
  </si>
  <si>
    <t>R1.10.1～</t>
    <phoneticPr fontId="17"/>
  </si>
  <si>
    <r>
      <t>上記1～5</t>
    </r>
    <r>
      <rPr>
        <sz val="10"/>
        <rFont val="ＭＳ Ｐゴシック"/>
        <family val="3"/>
        <charset val="128"/>
      </rPr>
      <t>以外の競馬関係の機器</t>
    </r>
    <rPh sb="0" eb="2">
      <t>ジョウキ</t>
    </rPh>
    <rPh sb="5" eb="7">
      <t>イガイ</t>
    </rPh>
    <rPh sb="8" eb="10">
      <t>ケイバ</t>
    </rPh>
    <rPh sb="10" eb="12">
      <t>カンケイ</t>
    </rPh>
    <rPh sb="13" eb="15">
      <t>キキ</t>
    </rPh>
    <phoneticPr fontId="17"/>
  </si>
  <si>
    <t>保険料率(R6.4.1改定)
（保険金額千円につき）</t>
    <rPh sb="0" eb="3">
      <t>ホケンリョウ</t>
    </rPh>
    <rPh sb="3" eb="4">
      <t>リツ</t>
    </rPh>
    <rPh sb="11" eb="13">
      <t>カイテイ</t>
    </rPh>
    <rPh sb="16" eb="18">
      <t>ホケン</t>
    </rPh>
    <rPh sb="18" eb="20">
      <t>キンガク</t>
    </rPh>
    <rPh sb="20" eb="22">
      <t>センエン</t>
    </rPh>
    <phoneticPr fontId="17"/>
  </si>
  <si>
    <r>
      <t>●　</t>
    </r>
    <r>
      <rPr>
        <b/>
        <sz val="24"/>
        <color theme="1"/>
        <rFont val="ＭＳ Ｐゴシック"/>
        <family val="3"/>
        <charset val="128"/>
      </rPr>
      <t>支払リース料等計算書（補助付リースの場合）</t>
    </r>
    <r>
      <rPr>
        <b/>
        <sz val="24"/>
        <color theme="1"/>
        <rFont val="ＭＳ Ｐゴシック"/>
        <family val="3"/>
        <charset val="128"/>
        <scheme val="minor"/>
      </rPr>
      <t xml:space="preserve">　　 </t>
    </r>
    <r>
      <rPr>
        <b/>
        <sz val="16"/>
        <color theme="1"/>
        <rFont val="ＭＳ Ｐゴシック"/>
        <family val="3"/>
        <charset val="128"/>
        <scheme val="minor"/>
      </rPr>
      <t>【本計算書（Excel）はホームページに掲載しています。】　　</t>
    </r>
    <r>
      <rPr>
        <b/>
        <sz val="18"/>
        <color theme="1"/>
        <rFont val="ＭＳ Ｐゴシック"/>
        <family val="3"/>
        <charset val="128"/>
        <scheme val="minor"/>
      </rPr>
      <t>R6.4.1改定</t>
    </r>
    <rPh sb="2" eb="4">
      <t>シハライ</t>
    </rPh>
    <rPh sb="7" eb="8">
      <t>リョウ</t>
    </rPh>
    <rPh sb="8" eb="9">
      <t>トウ</t>
    </rPh>
    <rPh sb="9" eb="12">
      <t>ケイサンショ</t>
    </rPh>
    <rPh sb="13" eb="19">
      <t>ホジョツキ</t>
    </rPh>
    <rPh sb="20" eb="22">
      <t>バアイ</t>
    </rPh>
    <rPh sb="27" eb="31">
      <t>ホンケイサンショ</t>
    </rPh>
    <rPh sb="46" eb="48">
      <t>ケイサイ</t>
    </rPh>
    <rPh sb="63" eb="65">
      <t>カイテイ</t>
    </rPh>
    <phoneticPr fontId="1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</si>
</sst>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6" formatCode="#,##0.0000;[Red]\-#,##0.0000"/>
    <numFmt numFmtId="177" formatCode="&quot;第&quot;#&quot;回&quot;"/>
    <numFmt numFmtId="178" formatCode="yyyy&quot;年&quot;m&quot;月&quot;;@"/>
    <numFmt numFmtId="179" formatCode="#&quot;月&quot;"/>
    <numFmt numFmtId="180" formatCode="[$-411]gge&quot;年&quot;m&quot;月&quot;"/>
    <numFmt numFmtId="181" formatCode="0.0%"/>
    <numFmt numFmtId="182" formatCode="[$-411]ge\.m\.d;@"/>
    <numFmt numFmtId="183" formatCode="#,##0.00000;[Red]\-#,##0.00000"/>
    <numFmt numFmtId="184" formatCode="#,##0.000;[Red]\-#,##0.000"/>
    <numFmt numFmtId="185" formatCode="#,##0.0"/>
  </numFmts>
  <fonts count="57">
    <font>
      <sz val="11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18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16"/>
      <name val="ＭＳ Ｐゴシック"/>
      <family val="3"/>
      <charset val="128"/>
    </font>
    <font>
      <sz val="11"/>
      <color indexed="13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13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18"/>
      <name val="ＭＳ Ｐゴシック"/>
      <family val="3"/>
      <charset val="128"/>
    </font>
    <font>
      <b/>
      <sz val="13"/>
      <color indexed="18"/>
      <name val="ＭＳ Ｐゴシック"/>
      <family val="3"/>
      <charset val="128"/>
    </font>
    <font>
      <b/>
      <sz val="11"/>
      <color indexed="1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18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11"/>
      <color indexed="81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b/>
      <sz val="12"/>
      <color indexed="8"/>
      <name val="ＭＳ Ｐゴシック"/>
      <family val="3"/>
      <charset val="128"/>
    </font>
    <font>
      <sz val="6"/>
      <name val="ＭＳ 明朝"/>
      <family val="1"/>
      <charset val="128"/>
    </font>
    <font>
      <b/>
      <sz val="14"/>
      <color indexed="10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b/>
      <sz val="12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b/>
      <sz val="8"/>
      <color indexed="8"/>
      <name val="ＭＳ Ｐゴシック"/>
      <family val="3"/>
      <charset val="128"/>
    </font>
    <font>
      <b/>
      <sz val="10"/>
      <color indexed="8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6"/>
      <color indexed="8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b/>
      <sz val="12"/>
      <color indexed="10"/>
      <name val="ＭＳ Ｐゴシック"/>
      <family val="3"/>
      <charset val="128"/>
    </font>
    <font>
      <b/>
      <sz val="12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</font>
    <font>
      <b/>
      <sz val="14"/>
      <color rgb="FFFF000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b/>
      <sz val="16"/>
      <color theme="1"/>
      <name val="ＭＳ Ｐゴシック"/>
      <family val="3"/>
      <charset val="128"/>
      <scheme val="minor"/>
    </font>
    <font>
      <b/>
      <sz val="12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9"/>
      <color rgb="FFFF0000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sz val="12"/>
      <color indexed="8"/>
      <name val="ＭＳ Ｐ明朝"/>
      <family val="1"/>
      <charset val="128"/>
    </font>
    <font>
      <b/>
      <sz val="12"/>
      <color rgb="FFFF0000"/>
      <name val="ＭＳ Ｐ明朝"/>
      <family val="1"/>
      <charset val="128"/>
    </font>
    <font>
      <b/>
      <sz val="10"/>
      <color rgb="FFFF0000"/>
      <name val="ＭＳ Ｐゴシック"/>
      <family val="3"/>
      <charset val="128"/>
    </font>
    <font>
      <b/>
      <sz val="24"/>
      <color theme="1"/>
      <name val="ＭＳ Ｐゴシック"/>
      <family val="3"/>
      <charset val="128"/>
      <scheme val="minor"/>
    </font>
    <font>
      <b/>
      <sz val="12"/>
      <color indexed="8"/>
      <name val="HGS創英角ｺﾞｼｯｸUB"/>
      <family val="3"/>
      <charset val="128"/>
    </font>
    <font>
      <b/>
      <sz val="11"/>
      <color indexed="81"/>
      <name val="MS P ゴシック"/>
      <family val="3"/>
      <charset val="128"/>
    </font>
    <font>
      <b/>
      <sz val="8"/>
      <color rgb="FF000000"/>
      <name val="ＭＳ Ｐゴシック"/>
      <family val="3"/>
      <charset val="128"/>
    </font>
    <font>
      <b/>
      <sz val="24"/>
      <color theme="1"/>
      <name val="ＭＳ Ｐゴシック"/>
      <family val="3"/>
      <charset val="128"/>
    </font>
    <font>
      <b/>
      <sz val="10"/>
      <color indexed="10"/>
      <name val="MS P ゴシック"/>
      <family val="3"/>
      <charset val="128"/>
    </font>
    <font>
      <b/>
      <sz val="18"/>
      <color theme="1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</font>
    <font>
      <sz val="10"/>
      <name val="ＭＳ Ｐ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11"/>
      </patternFill>
    </fill>
    <fill>
      <patternFill patternType="solid">
        <fgColor indexed="13"/>
      </patternFill>
    </fill>
    <fill>
      <patternFill patternType="solid">
        <fgColor indexed="21"/>
      </patternFill>
    </fill>
    <fill>
      <patternFill patternType="solid">
        <fgColor indexed="20"/>
      </patternFill>
    </fill>
    <fill>
      <patternFill patternType="solid">
        <fgColor indexed="15"/>
      </patternFill>
    </fill>
    <fill>
      <patternFill patternType="solid">
        <fgColor indexed="18"/>
      </patternFill>
    </fill>
    <fill>
      <patternFill patternType="solid">
        <fgColor indexed="10"/>
      </patternFill>
    </fill>
    <fill>
      <patternFill patternType="solid">
        <fgColor indexed="23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0.39997558519241921"/>
        <bgColor indexed="64"/>
      </patternFill>
    </fill>
  </fills>
  <borders count="61">
    <border>
      <left/>
      <right/>
      <top/>
      <bottom/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1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1"/>
      </bottom>
      <diagonal/>
    </border>
    <border>
      <left/>
      <right/>
      <top style="thin">
        <color indexed="18"/>
      </top>
      <bottom style="double">
        <color indexed="1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slantDashDot">
        <color rgb="FF00B0F0"/>
      </left>
      <right/>
      <top style="slantDashDot">
        <color rgb="FF00B0F0"/>
      </top>
      <bottom/>
      <diagonal/>
    </border>
    <border>
      <left/>
      <right/>
      <top style="slantDashDot">
        <color rgb="FF00B0F0"/>
      </top>
      <bottom/>
      <diagonal/>
    </border>
    <border>
      <left/>
      <right style="slantDashDot">
        <color rgb="FF00B0F0"/>
      </right>
      <top style="slantDashDot">
        <color rgb="FF00B0F0"/>
      </top>
      <bottom/>
      <diagonal/>
    </border>
    <border>
      <left style="slantDashDot">
        <color rgb="FF00B0F0"/>
      </left>
      <right/>
      <top/>
      <bottom/>
      <diagonal/>
    </border>
    <border>
      <left/>
      <right style="slantDashDot">
        <color rgb="FF00B0F0"/>
      </right>
      <top/>
      <bottom/>
      <diagonal/>
    </border>
    <border>
      <left style="slantDashDot">
        <color rgb="FF00B0F0"/>
      </left>
      <right/>
      <top/>
      <bottom style="slantDashDot">
        <color rgb="FF00B0F0"/>
      </bottom>
      <diagonal/>
    </border>
    <border>
      <left/>
      <right/>
      <top/>
      <bottom style="slantDashDot">
        <color rgb="FF00B0F0"/>
      </bottom>
      <diagonal/>
    </border>
    <border>
      <left/>
      <right style="slantDashDot">
        <color rgb="FF00B0F0"/>
      </right>
      <top/>
      <bottom style="slantDashDot">
        <color rgb="FF00B0F0"/>
      </bottom>
      <diagonal/>
    </border>
    <border>
      <left style="slantDashDot">
        <color rgb="FF00B0F0"/>
      </left>
      <right/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4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11" borderId="1" applyNumberFormat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" fillId="3" borderId="2" applyNumberFormat="0" applyFont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2" borderId="4" applyNumberForma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2" borderId="9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" borderId="4" applyNumberFormat="0" applyAlignment="0" applyProtection="0">
      <alignment vertical="center"/>
    </xf>
    <xf numFmtId="0" fontId="16" fillId="2" borderId="0" applyNumberFormat="0" applyBorder="0" applyAlignment="0" applyProtection="0">
      <alignment vertical="center"/>
    </xf>
  </cellStyleXfs>
  <cellXfs count="206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35" fillId="0" borderId="0" xfId="0" applyFont="1" applyAlignment="1">
      <alignment vertical="center" wrapText="1"/>
    </xf>
    <xf numFmtId="38" fontId="0" fillId="0" borderId="0" xfId="33" applyFont="1" applyProtection="1">
      <alignment vertical="center"/>
    </xf>
    <xf numFmtId="38" fontId="20" fillId="0" borderId="0" xfId="33" applyFont="1" applyProtection="1">
      <alignment vertical="center"/>
    </xf>
    <xf numFmtId="38" fontId="0" fillId="0" borderId="0" xfId="33" applyFont="1" applyAlignment="1" applyProtection="1">
      <alignment horizontal="center" vertical="center"/>
    </xf>
    <xf numFmtId="38" fontId="20" fillId="0" borderId="0" xfId="33" applyFont="1" applyAlignment="1" applyProtection="1">
      <alignment horizontal="center" vertical="center"/>
    </xf>
    <xf numFmtId="38" fontId="13" fillId="0" borderId="0" xfId="33" applyFont="1" applyProtection="1">
      <alignment vertical="center"/>
    </xf>
    <xf numFmtId="38" fontId="0" fillId="0" borderId="0" xfId="33" applyFont="1" applyBorder="1" applyProtection="1">
      <alignment vertical="center"/>
    </xf>
    <xf numFmtId="176" fontId="0" fillId="0" borderId="0" xfId="33" applyNumberFormat="1" applyFont="1" applyProtection="1">
      <alignment vertical="center"/>
    </xf>
    <xf numFmtId="38" fontId="0" fillId="12" borderId="33" xfId="33" applyFont="1" applyFill="1" applyBorder="1" applyProtection="1">
      <alignment vertical="center"/>
    </xf>
    <xf numFmtId="38" fontId="27" fillId="16" borderId="0" xfId="33" applyFont="1" applyFill="1" applyProtection="1">
      <alignment vertical="center"/>
    </xf>
    <xf numFmtId="38" fontId="28" fillId="17" borderId="0" xfId="33" applyFont="1" applyFill="1" applyProtection="1">
      <alignment vertical="center"/>
    </xf>
    <xf numFmtId="38" fontId="0" fillId="0" borderId="10" xfId="33" applyFont="1" applyBorder="1" applyProtection="1">
      <alignment vertical="center"/>
    </xf>
    <xf numFmtId="38" fontId="1" fillId="0" borderId="10" xfId="33" applyFont="1" applyBorder="1" applyProtection="1">
      <alignment vertical="center"/>
    </xf>
    <xf numFmtId="38" fontId="0" fillId="0" borderId="0" xfId="33" applyFont="1" applyAlignment="1" applyProtection="1">
      <alignment vertical="center"/>
    </xf>
    <xf numFmtId="38" fontId="0" fillId="0" borderId="10" xfId="33" applyFont="1" applyBorder="1" applyAlignment="1" applyProtection="1">
      <alignment vertical="center"/>
    </xf>
    <xf numFmtId="38" fontId="27" fillId="18" borderId="10" xfId="33" applyFont="1" applyFill="1" applyBorder="1" applyProtection="1">
      <alignment vertical="center"/>
    </xf>
    <xf numFmtId="38" fontId="0" fillId="13" borderId="0" xfId="33" applyFont="1" applyFill="1" applyProtection="1">
      <alignment vertical="center"/>
    </xf>
    <xf numFmtId="38" fontId="0" fillId="12" borderId="0" xfId="33" applyFont="1" applyFill="1" applyAlignment="1" applyProtection="1">
      <alignment horizontal="center" vertical="center"/>
    </xf>
    <xf numFmtId="38" fontId="0" fillId="0" borderId="0" xfId="33" applyFont="1" applyBorder="1" applyAlignment="1" applyProtection="1">
      <alignment horizontal="center" vertical="center"/>
    </xf>
    <xf numFmtId="38" fontId="0" fillId="0" borderId="10" xfId="33" applyFont="1" applyBorder="1" applyAlignment="1" applyProtection="1">
      <alignment horizontal="right" vertical="center"/>
    </xf>
    <xf numFmtId="38" fontId="0" fillId="14" borderId="0" xfId="33" applyFont="1" applyFill="1" applyBorder="1" applyProtection="1">
      <alignment vertical="center"/>
    </xf>
    <xf numFmtId="38" fontId="1" fillId="0" borderId="0" xfId="33" applyFont="1" applyBorder="1" applyProtection="1">
      <alignment vertical="center"/>
    </xf>
    <xf numFmtId="38" fontId="27" fillId="19" borderId="34" xfId="33" applyFont="1" applyFill="1" applyBorder="1" applyProtection="1">
      <alignment vertical="center"/>
    </xf>
    <xf numFmtId="38" fontId="27" fillId="19" borderId="35" xfId="33" applyFont="1" applyFill="1" applyBorder="1" applyProtection="1">
      <alignment vertical="center"/>
    </xf>
    <xf numFmtId="38" fontId="27" fillId="19" borderId="36" xfId="33" applyFont="1" applyFill="1" applyBorder="1" applyProtection="1">
      <alignment vertical="center"/>
    </xf>
    <xf numFmtId="38" fontId="27" fillId="19" borderId="37" xfId="33" applyFont="1" applyFill="1" applyBorder="1" applyProtection="1">
      <alignment vertical="center"/>
    </xf>
    <xf numFmtId="38" fontId="0" fillId="0" borderId="38" xfId="33" applyFont="1" applyBorder="1" applyAlignment="1" applyProtection="1">
      <alignment horizontal="center" vertical="center"/>
    </xf>
    <xf numFmtId="179" fontId="27" fillId="15" borderId="34" xfId="33" applyNumberFormat="1" applyFont="1" applyFill="1" applyBorder="1" applyProtection="1">
      <alignment vertical="center"/>
    </xf>
    <xf numFmtId="38" fontId="0" fillId="0" borderId="33" xfId="33" applyFont="1" applyBorder="1" applyAlignment="1" applyProtection="1">
      <alignment horizontal="center" vertical="center"/>
    </xf>
    <xf numFmtId="38" fontId="0" fillId="0" borderId="33" xfId="33" applyFont="1" applyBorder="1" applyProtection="1">
      <alignment vertical="center"/>
    </xf>
    <xf numFmtId="179" fontId="27" fillId="15" borderId="36" xfId="33" applyNumberFormat="1" applyFont="1" applyFill="1" applyBorder="1" applyProtection="1">
      <alignment vertical="center"/>
    </xf>
    <xf numFmtId="38" fontId="21" fillId="0" borderId="33" xfId="33" applyFont="1" applyBorder="1" applyAlignment="1" applyProtection="1">
      <alignment horizontal="center" vertical="center"/>
    </xf>
    <xf numFmtId="179" fontId="27" fillId="15" borderId="39" xfId="33" applyNumberFormat="1" applyFont="1" applyFill="1" applyBorder="1" applyProtection="1">
      <alignment vertical="center"/>
    </xf>
    <xf numFmtId="179" fontId="27" fillId="20" borderId="34" xfId="33" applyNumberFormat="1" applyFont="1" applyFill="1" applyBorder="1" applyProtection="1">
      <alignment vertical="center"/>
    </xf>
    <xf numFmtId="38" fontId="27" fillId="20" borderId="40" xfId="33" applyFont="1" applyFill="1" applyBorder="1" applyProtection="1">
      <alignment vertical="center"/>
    </xf>
    <xf numFmtId="38" fontId="27" fillId="20" borderId="35" xfId="33" applyFont="1" applyFill="1" applyBorder="1" applyProtection="1">
      <alignment vertical="center"/>
    </xf>
    <xf numFmtId="38" fontId="27" fillId="20" borderId="41" xfId="33" applyFont="1" applyFill="1" applyBorder="1" applyProtection="1">
      <alignment vertical="center"/>
    </xf>
    <xf numFmtId="179" fontId="27" fillId="20" borderId="36" xfId="33" applyNumberFormat="1" applyFont="1" applyFill="1" applyBorder="1" applyProtection="1">
      <alignment vertical="center"/>
    </xf>
    <xf numFmtId="38" fontId="27" fillId="20" borderId="0" xfId="33" applyFont="1" applyFill="1" applyBorder="1" applyProtection="1">
      <alignment vertical="center"/>
    </xf>
    <xf numFmtId="38" fontId="27" fillId="20" borderId="37" xfId="33" applyFont="1" applyFill="1" applyBorder="1" applyProtection="1">
      <alignment vertical="center"/>
    </xf>
    <xf numFmtId="38" fontId="27" fillId="20" borderId="42" xfId="33" applyFont="1" applyFill="1" applyBorder="1" applyProtection="1">
      <alignment vertical="center"/>
    </xf>
    <xf numFmtId="179" fontId="27" fillId="20" borderId="39" xfId="33" applyNumberFormat="1" applyFont="1" applyFill="1" applyBorder="1" applyProtection="1">
      <alignment vertical="center"/>
    </xf>
    <xf numFmtId="38" fontId="27" fillId="20" borderId="43" xfId="33" applyFont="1" applyFill="1" applyBorder="1" applyProtection="1">
      <alignment vertical="center"/>
    </xf>
    <xf numFmtId="38" fontId="27" fillId="20" borderId="44" xfId="33" applyFont="1" applyFill="1" applyBorder="1" applyProtection="1">
      <alignment vertical="center"/>
    </xf>
    <xf numFmtId="38" fontId="27" fillId="20" borderId="45" xfId="33" applyFont="1" applyFill="1" applyBorder="1" applyProtection="1">
      <alignment vertical="center"/>
    </xf>
    <xf numFmtId="179" fontId="0" fillId="0" borderId="0" xfId="33" applyNumberFormat="1" applyFont="1" applyProtection="1">
      <alignment vertical="center"/>
    </xf>
    <xf numFmtId="38" fontId="39" fillId="0" borderId="0" xfId="33" applyFont="1" applyProtection="1">
      <alignment vertical="center"/>
    </xf>
    <xf numFmtId="38" fontId="28" fillId="0" borderId="10" xfId="33" applyFont="1" applyBorder="1" applyProtection="1">
      <alignment vertical="center"/>
    </xf>
    <xf numFmtId="40" fontId="0" fillId="0" borderId="10" xfId="33" applyNumberFormat="1" applyFont="1" applyBorder="1" applyProtection="1">
      <alignment vertical="center"/>
    </xf>
    <xf numFmtId="40" fontId="0" fillId="0" borderId="0" xfId="33" applyNumberFormat="1" applyFont="1" applyProtection="1">
      <alignment vertical="center"/>
    </xf>
    <xf numFmtId="40" fontId="41" fillId="18" borderId="33" xfId="33" applyNumberFormat="1" applyFont="1" applyFill="1" applyBorder="1" applyProtection="1">
      <alignment vertical="center"/>
    </xf>
    <xf numFmtId="183" fontId="27" fillId="16" borderId="0" xfId="33" applyNumberFormat="1" applyFont="1" applyFill="1" applyBorder="1" applyProtection="1">
      <alignment vertical="center"/>
    </xf>
    <xf numFmtId="183" fontId="27" fillId="15" borderId="40" xfId="33" applyNumberFormat="1" applyFont="1" applyFill="1" applyBorder="1" applyProtection="1">
      <alignment vertical="center"/>
    </xf>
    <xf numFmtId="183" fontId="27" fillId="15" borderId="35" xfId="33" applyNumberFormat="1" applyFont="1" applyFill="1" applyBorder="1" applyProtection="1">
      <alignment vertical="center"/>
    </xf>
    <xf numFmtId="183" fontId="27" fillId="15" borderId="0" xfId="33" applyNumberFormat="1" applyFont="1" applyFill="1" applyBorder="1" applyProtection="1">
      <alignment vertical="center"/>
    </xf>
    <xf numFmtId="183" fontId="27" fillId="15" borderId="37" xfId="33" applyNumberFormat="1" applyFont="1" applyFill="1" applyBorder="1" applyProtection="1">
      <alignment vertical="center"/>
    </xf>
    <xf numFmtId="183" fontId="27" fillId="15" borderId="43" xfId="33" applyNumberFormat="1" applyFont="1" applyFill="1" applyBorder="1" applyProtection="1">
      <alignment vertical="center"/>
    </xf>
    <xf numFmtId="183" fontId="27" fillId="15" borderId="44" xfId="33" applyNumberFormat="1" applyFont="1" applyFill="1" applyBorder="1" applyProtection="1">
      <alignment vertical="center"/>
    </xf>
    <xf numFmtId="38" fontId="42" fillId="0" borderId="10" xfId="33" applyFont="1" applyBorder="1" applyProtection="1">
      <alignment vertical="center"/>
    </xf>
    <xf numFmtId="38" fontId="42" fillId="0" borderId="0" xfId="33" applyFont="1" applyAlignment="1" applyProtection="1">
      <alignment horizontal="center" vertical="center"/>
    </xf>
    <xf numFmtId="38" fontId="21" fillId="0" borderId="10" xfId="33" applyFont="1" applyBorder="1" applyAlignment="1" applyProtection="1">
      <alignment horizontal="center" vertical="center" wrapText="1"/>
    </xf>
    <xf numFmtId="38" fontId="27" fillId="22" borderId="0" xfId="33" applyFont="1" applyFill="1" applyProtection="1">
      <alignment vertical="center"/>
    </xf>
    <xf numFmtId="38" fontId="27" fillId="18" borderId="10" xfId="33" applyFont="1" applyFill="1" applyBorder="1" applyAlignment="1" applyProtection="1">
      <alignment horizontal="right" vertical="center"/>
    </xf>
    <xf numFmtId="3" fontId="27" fillId="18" borderId="10" xfId="33" applyNumberFormat="1" applyFont="1" applyFill="1" applyBorder="1" applyProtection="1">
      <alignment vertical="center"/>
    </xf>
    <xf numFmtId="3" fontId="27" fillId="21" borderId="10" xfId="33" applyNumberFormat="1" applyFont="1" applyFill="1" applyBorder="1" applyProtection="1">
      <alignment vertical="center"/>
    </xf>
    <xf numFmtId="38" fontId="27" fillId="0" borderId="0" xfId="33" applyFont="1" applyBorder="1" applyProtection="1">
      <alignment vertical="center"/>
    </xf>
    <xf numFmtId="38" fontId="0" fillId="0" borderId="10" xfId="33" applyFont="1" applyBorder="1" applyAlignment="1" applyProtection="1">
      <alignment horizontal="center" vertical="center" wrapText="1"/>
    </xf>
    <xf numFmtId="182" fontId="0" fillId="0" borderId="10" xfId="33" applyNumberFormat="1" applyFont="1" applyBorder="1" applyProtection="1">
      <alignment vertical="center"/>
    </xf>
    <xf numFmtId="38" fontId="43" fillId="23" borderId="10" xfId="33" applyFont="1" applyFill="1" applyBorder="1" applyProtection="1">
      <alignment vertical="center"/>
    </xf>
    <xf numFmtId="38" fontId="41" fillId="23" borderId="10" xfId="33" applyFont="1" applyFill="1" applyBorder="1" applyProtection="1">
      <alignment vertical="center"/>
    </xf>
    <xf numFmtId="3" fontId="27" fillId="21" borderId="10" xfId="34" applyNumberFormat="1" applyFont="1" applyFill="1" applyBorder="1" applyProtection="1">
      <alignment vertical="center"/>
    </xf>
    <xf numFmtId="3" fontId="27" fillId="0" borderId="0" xfId="33" applyNumberFormat="1" applyFont="1" applyFill="1" applyProtection="1">
      <alignment vertical="center"/>
    </xf>
    <xf numFmtId="38" fontId="28" fillId="0" borderId="10" xfId="34" applyFont="1" applyBorder="1" applyProtection="1">
      <alignment vertical="center"/>
    </xf>
    <xf numFmtId="38" fontId="0" fillId="0" borderId="10" xfId="34" applyFont="1" applyBorder="1" applyProtection="1">
      <alignment vertical="center"/>
    </xf>
    <xf numFmtId="0" fontId="44" fillId="0" borderId="0" xfId="0" applyFont="1" applyAlignment="1">
      <alignment vertical="center" wrapText="1"/>
    </xf>
    <xf numFmtId="38" fontId="13" fillId="0" borderId="45" xfId="33" applyFont="1" applyBorder="1" applyProtection="1">
      <alignment vertical="center"/>
    </xf>
    <xf numFmtId="38" fontId="13" fillId="0" borderId="45" xfId="33" applyFont="1" applyBorder="1" applyAlignment="1" applyProtection="1">
      <alignment horizontal="center" vertical="center"/>
    </xf>
    <xf numFmtId="0" fontId="0" fillId="19" borderId="53" xfId="0" applyFill="1" applyBorder="1" applyAlignment="1">
      <alignment vertical="center" wrapText="1"/>
    </xf>
    <xf numFmtId="0" fontId="44" fillId="19" borderId="54" xfId="0" applyFont="1" applyFill="1" applyBorder="1" applyAlignment="1">
      <alignment vertical="center" wrapText="1"/>
    </xf>
    <xf numFmtId="0" fontId="44" fillId="19" borderId="0" xfId="0" applyFont="1" applyFill="1" applyAlignment="1">
      <alignment vertical="center" wrapText="1"/>
    </xf>
    <xf numFmtId="0" fontId="44" fillId="19" borderId="55" xfId="0" applyFont="1" applyFill="1" applyBorder="1" applyAlignment="1">
      <alignment vertical="center" wrapText="1"/>
    </xf>
    <xf numFmtId="0" fontId="35" fillId="19" borderId="54" xfId="0" applyFont="1" applyFill="1" applyBorder="1" applyAlignment="1">
      <alignment vertical="center" wrapText="1"/>
    </xf>
    <xf numFmtId="0" fontId="35" fillId="19" borderId="0" xfId="0" applyFont="1" applyFill="1" applyAlignment="1">
      <alignment vertical="center" wrapText="1"/>
    </xf>
    <xf numFmtId="0" fontId="35" fillId="19" borderId="0" xfId="0" applyFont="1" applyFill="1" applyAlignment="1">
      <alignment horizontal="right" vertical="center" wrapText="1"/>
    </xf>
    <xf numFmtId="0" fontId="35" fillId="19" borderId="55" xfId="0" applyFont="1" applyFill="1" applyBorder="1" applyAlignment="1">
      <alignment vertical="center" wrapText="1"/>
    </xf>
    <xf numFmtId="0" fontId="36" fillId="19" borderId="0" xfId="0" applyFont="1" applyFill="1" applyAlignment="1">
      <alignment vertical="center" wrapText="1"/>
    </xf>
    <xf numFmtId="38" fontId="0" fillId="19" borderId="54" xfId="33" applyFont="1" applyFill="1" applyBorder="1" applyProtection="1">
      <alignment vertical="center"/>
    </xf>
    <xf numFmtId="38" fontId="0" fillId="19" borderId="0" xfId="33" applyFont="1" applyFill="1" applyBorder="1" applyProtection="1">
      <alignment vertical="center"/>
    </xf>
    <xf numFmtId="38" fontId="0" fillId="19" borderId="55" xfId="33" applyFont="1" applyFill="1" applyBorder="1" applyProtection="1">
      <alignment vertical="center"/>
    </xf>
    <xf numFmtId="38" fontId="20" fillId="19" borderId="59" xfId="33" applyFont="1" applyFill="1" applyBorder="1" applyProtection="1">
      <alignment vertical="center"/>
    </xf>
    <xf numFmtId="38" fontId="22" fillId="19" borderId="0" xfId="33" applyFont="1" applyFill="1" applyBorder="1" applyAlignment="1" applyProtection="1">
      <alignment horizontal="left" vertical="center"/>
    </xf>
    <xf numFmtId="38" fontId="26" fillId="19" borderId="0" xfId="33" applyFont="1" applyFill="1" applyBorder="1" applyProtection="1">
      <alignment vertical="center"/>
    </xf>
    <xf numFmtId="38" fontId="20" fillId="19" borderId="0" xfId="33" applyFont="1" applyFill="1" applyBorder="1" applyProtection="1">
      <alignment vertical="center"/>
    </xf>
    <xf numFmtId="38" fontId="20" fillId="19" borderId="55" xfId="33" applyFont="1" applyFill="1" applyBorder="1" applyProtection="1">
      <alignment vertical="center"/>
    </xf>
    <xf numFmtId="38" fontId="22" fillId="19" borderId="0" xfId="33" applyFont="1" applyFill="1" applyBorder="1" applyProtection="1">
      <alignment vertical="center"/>
    </xf>
    <xf numFmtId="0" fontId="40" fillId="19" borderId="0" xfId="0" applyFont="1" applyFill="1" applyAlignment="1">
      <alignment horizontal="center" vertical="center" wrapText="1"/>
    </xf>
    <xf numFmtId="38" fontId="20" fillId="19" borderId="54" xfId="33" applyFont="1" applyFill="1" applyBorder="1" applyProtection="1">
      <alignment vertical="center"/>
    </xf>
    <xf numFmtId="38" fontId="22" fillId="19" borderId="0" xfId="33" applyFont="1" applyFill="1" applyBorder="1" applyAlignment="1" applyProtection="1">
      <alignment horizontal="right" vertical="center"/>
    </xf>
    <xf numFmtId="38" fontId="26" fillId="19" borderId="0" xfId="33" applyFont="1" applyFill="1" applyBorder="1" applyAlignment="1" applyProtection="1">
      <alignment horizontal="right" vertical="center"/>
    </xf>
    <xf numFmtId="38" fontId="0" fillId="19" borderId="0" xfId="33" applyFont="1" applyFill="1" applyBorder="1" applyAlignment="1" applyProtection="1">
      <alignment horizontal="center" vertical="center"/>
    </xf>
    <xf numFmtId="38" fontId="21" fillId="19" borderId="0" xfId="33" applyFont="1" applyFill="1" applyBorder="1" applyAlignment="1" applyProtection="1">
      <alignment horizontal="center" vertical="center"/>
    </xf>
    <xf numFmtId="38" fontId="21" fillId="19" borderId="0" xfId="33" applyFont="1" applyFill="1" applyBorder="1" applyAlignment="1" applyProtection="1">
      <alignment horizontal="left" vertical="center" wrapText="1"/>
    </xf>
    <xf numFmtId="40" fontId="21" fillId="19" borderId="0" xfId="33" applyNumberFormat="1" applyFont="1" applyFill="1" applyBorder="1" applyAlignment="1" applyProtection="1">
      <alignment horizontal="right" vertical="center"/>
    </xf>
    <xf numFmtId="38" fontId="21" fillId="19" borderId="0" xfId="33" applyFont="1" applyFill="1" applyBorder="1" applyAlignment="1" applyProtection="1">
      <alignment horizontal="left" vertical="center"/>
    </xf>
    <xf numFmtId="38" fontId="20" fillId="19" borderId="54" xfId="33" applyFont="1" applyFill="1" applyBorder="1" applyAlignment="1" applyProtection="1">
      <alignment horizontal="center" vertical="center"/>
    </xf>
    <xf numFmtId="38" fontId="20" fillId="19" borderId="0" xfId="33" applyFont="1" applyFill="1" applyBorder="1" applyAlignment="1" applyProtection="1">
      <alignment horizontal="center" vertical="center"/>
    </xf>
    <xf numFmtId="38" fontId="27" fillId="19" borderId="0" xfId="33" applyFont="1" applyFill="1" applyBorder="1" applyAlignment="1" applyProtection="1">
      <alignment horizontal="center" vertical="center"/>
    </xf>
    <xf numFmtId="38" fontId="49" fillId="19" borderId="0" xfId="33" applyFont="1" applyFill="1" applyBorder="1" applyAlignment="1" applyProtection="1">
      <alignment horizontal="center" vertical="center"/>
    </xf>
    <xf numFmtId="38" fontId="20" fillId="19" borderId="55" xfId="33" applyFont="1" applyFill="1" applyBorder="1" applyAlignment="1" applyProtection="1">
      <alignment horizontal="center" vertical="center"/>
    </xf>
    <xf numFmtId="38" fontId="45" fillId="19" borderId="0" xfId="33" applyFont="1" applyFill="1" applyBorder="1" applyProtection="1">
      <alignment vertical="center"/>
    </xf>
    <xf numFmtId="38" fontId="46" fillId="19" borderId="0" xfId="33" applyFont="1" applyFill="1" applyBorder="1" applyProtection="1">
      <alignment vertical="center"/>
    </xf>
    <xf numFmtId="38" fontId="41" fillId="19" borderId="0" xfId="33" applyFont="1" applyFill="1" applyBorder="1" applyProtection="1">
      <alignment vertical="center"/>
    </xf>
    <xf numFmtId="38" fontId="0" fillId="19" borderId="56" xfId="33" applyFont="1" applyFill="1" applyBorder="1" applyProtection="1">
      <alignment vertical="center"/>
    </xf>
    <xf numFmtId="38" fontId="0" fillId="19" borderId="57" xfId="33" applyFont="1" applyFill="1" applyBorder="1" applyProtection="1">
      <alignment vertical="center"/>
    </xf>
    <xf numFmtId="38" fontId="0" fillId="19" borderId="58" xfId="33" applyFont="1" applyFill="1" applyBorder="1" applyProtection="1">
      <alignment vertical="center"/>
    </xf>
    <xf numFmtId="177" fontId="37" fillId="24" borderId="16" xfId="0" applyNumberFormat="1" applyFont="1" applyFill="1" applyBorder="1" applyAlignment="1">
      <alignment horizontal="center" vertical="center" wrapText="1"/>
    </xf>
    <xf numFmtId="177" fontId="37" fillId="24" borderId="17" xfId="0" applyNumberFormat="1" applyFont="1" applyFill="1" applyBorder="1" applyAlignment="1">
      <alignment horizontal="center" vertical="center" wrapText="1"/>
    </xf>
    <xf numFmtId="177" fontId="37" fillId="24" borderId="12" xfId="0" applyNumberFormat="1" applyFont="1" applyFill="1" applyBorder="1" applyAlignment="1">
      <alignment horizontal="center" vertical="center" wrapText="1"/>
    </xf>
    <xf numFmtId="178" fontId="30" fillId="24" borderId="18" xfId="0" applyNumberFormat="1" applyFont="1" applyFill="1" applyBorder="1" applyAlignment="1">
      <alignment horizontal="center" wrapText="1"/>
    </xf>
    <xf numFmtId="178" fontId="30" fillId="24" borderId="19" xfId="0" applyNumberFormat="1" applyFont="1" applyFill="1" applyBorder="1" applyAlignment="1">
      <alignment horizontal="center" wrapText="1"/>
    </xf>
    <xf numFmtId="180" fontId="30" fillId="24" borderId="19" xfId="0" applyNumberFormat="1" applyFont="1" applyFill="1" applyBorder="1" applyAlignment="1">
      <alignment horizontal="center" wrapText="1"/>
    </xf>
    <xf numFmtId="180" fontId="30" fillId="24" borderId="20" xfId="0" applyNumberFormat="1" applyFont="1" applyFill="1" applyBorder="1" applyAlignment="1">
      <alignment horizontal="center" wrapText="1"/>
    </xf>
    <xf numFmtId="178" fontId="30" fillId="24" borderId="21" xfId="0" applyNumberFormat="1" applyFont="1" applyFill="1" applyBorder="1" applyAlignment="1">
      <alignment horizontal="center" vertical="top" wrapText="1"/>
    </xf>
    <xf numFmtId="178" fontId="30" fillId="24" borderId="22" xfId="0" applyNumberFormat="1" applyFont="1" applyFill="1" applyBorder="1" applyAlignment="1">
      <alignment horizontal="center" vertical="top" wrapText="1"/>
    </xf>
    <xf numFmtId="178" fontId="30" fillId="24" borderId="23" xfId="0" applyNumberFormat="1" applyFont="1" applyFill="1" applyBorder="1" applyAlignment="1">
      <alignment horizontal="center" vertical="top" wrapText="1"/>
    </xf>
    <xf numFmtId="38" fontId="13" fillId="24" borderId="24" xfId="33" applyFont="1" applyFill="1" applyBorder="1" applyAlignment="1" applyProtection="1">
      <alignment horizontal="center" vertical="center"/>
    </xf>
    <xf numFmtId="38" fontId="13" fillId="24" borderId="16" xfId="33" applyFont="1" applyFill="1" applyBorder="1" applyProtection="1">
      <alignment vertical="center"/>
    </xf>
    <xf numFmtId="38" fontId="13" fillId="24" borderId="17" xfId="33" applyFont="1" applyFill="1" applyBorder="1" applyProtection="1">
      <alignment vertical="center"/>
    </xf>
    <xf numFmtId="38" fontId="13" fillId="24" borderId="12" xfId="33" applyFont="1" applyFill="1" applyBorder="1" applyProtection="1">
      <alignment vertical="center"/>
    </xf>
    <xf numFmtId="38" fontId="29" fillId="24" borderId="25" xfId="33" applyFont="1" applyFill="1" applyBorder="1" applyAlignment="1" applyProtection="1">
      <alignment horizontal="center" vertical="center" wrapText="1"/>
    </xf>
    <xf numFmtId="38" fontId="13" fillId="24" borderId="27" xfId="33" applyFont="1" applyFill="1" applyBorder="1" applyProtection="1">
      <alignment vertical="center"/>
    </xf>
    <xf numFmtId="38" fontId="13" fillId="24" borderId="14" xfId="33" applyFont="1" applyFill="1" applyBorder="1" applyProtection="1">
      <alignment vertical="center"/>
    </xf>
    <xf numFmtId="38" fontId="13" fillId="24" borderId="25" xfId="33" applyFont="1" applyFill="1" applyBorder="1" applyProtection="1">
      <alignment vertical="center"/>
    </xf>
    <xf numFmtId="38" fontId="13" fillId="24" borderId="26" xfId="33" applyFont="1" applyFill="1" applyBorder="1" applyProtection="1">
      <alignment vertical="center"/>
    </xf>
    <xf numFmtId="38" fontId="13" fillId="24" borderId="10" xfId="33" applyFont="1" applyFill="1" applyBorder="1" applyAlignment="1" applyProtection="1">
      <alignment horizontal="center" vertical="center" wrapText="1"/>
    </xf>
    <xf numFmtId="38" fontId="13" fillId="24" borderId="28" xfId="33" applyFont="1" applyFill="1" applyBorder="1" applyProtection="1">
      <alignment vertical="center"/>
    </xf>
    <xf numFmtId="38" fontId="13" fillId="24" borderId="29" xfId="33" applyFont="1" applyFill="1" applyBorder="1" applyProtection="1">
      <alignment vertical="center"/>
    </xf>
    <xf numFmtId="38" fontId="13" fillId="24" borderId="30" xfId="33" applyFont="1" applyFill="1" applyBorder="1" applyProtection="1">
      <alignment vertical="center"/>
    </xf>
    <xf numFmtId="38" fontId="13" fillId="24" borderId="10" xfId="33" applyFont="1" applyFill="1" applyBorder="1" applyProtection="1">
      <alignment vertical="center"/>
    </xf>
    <xf numFmtId="38" fontId="30" fillId="24" borderId="10" xfId="33" applyFont="1" applyFill="1" applyBorder="1" applyAlignment="1" applyProtection="1">
      <alignment horizontal="center" vertical="center"/>
    </xf>
    <xf numFmtId="38" fontId="13" fillId="24" borderId="10" xfId="33" applyFont="1" applyFill="1" applyBorder="1" applyAlignment="1" applyProtection="1">
      <alignment horizontal="center" vertical="center"/>
    </xf>
    <xf numFmtId="38" fontId="39" fillId="24" borderId="24" xfId="33" applyFont="1" applyFill="1" applyBorder="1" applyProtection="1">
      <alignment vertical="center"/>
    </xf>
    <xf numFmtId="38" fontId="39" fillId="24" borderId="10" xfId="33" applyFont="1" applyFill="1" applyBorder="1" applyProtection="1">
      <alignment vertical="center"/>
    </xf>
    <xf numFmtId="38" fontId="39" fillId="24" borderId="28" xfId="33" applyFont="1" applyFill="1" applyBorder="1" applyAlignment="1" applyProtection="1">
      <alignment horizontal="right" vertical="center"/>
    </xf>
    <xf numFmtId="38" fontId="39" fillId="24" borderId="29" xfId="33" applyFont="1" applyFill="1" applyBorder="1" applyProtection="1">
      <alignment vertical="center"/>
    </xf>
    <xf numFmtId="184" fontId="0" fillId="0" borderId="10" xfId="33" applyNumberFormat="1" applyFont="1" applyBorder="1" applyProtection="1">
      <alignment vertical="center"/>
    </xf>
    <xf numFmtId="184" fontId="41" fillId="18" borderId="33" xfId="33" applyNumberFormat="1" applyFont="1" applyFill="1" applyBorder="1" applyProtection="1">
      <alignment vertical="center"/>
    </xf>
    <xf numFmtId="38" fontId="38" fillId="0" borderId="31" xfId="33" applyFont="1" applyBorder="1" applyAlignment="1" applyProtection="1">
      <alignment horizontal="right" vertical="center"/>
    </xf>
    <xf numFmtId="181" fontId="38" fillId="0" borderId="32" xfId="33" applyNumberFormat="1" applyFont="1" applyBorder="1" applyProtection="1">
      <alignment vertical="center"/>
    </xf>
    <xf numFmtId="185" fontId="25" fillId="18" borderId="33" xfId="33" applyNumberFormat="1" applyFont="1" applyFill="1" applyBorder="1" applyAlignment="1" applyProtection="1">
      <alignment horizontal="right" vertical="center"/>
      <protection locked="0"/>
    </xf>
    <xf numFmtId="182" fontId="0" fillId="0" borderId="10" xfId="33" applyNumberFormat="1" applyFont="1" applyBorder="1" applyAlignment="1" applyProtection="1">
      <alignment horizontal="center" vertical="center"/>
    </xf>
    <xf numFmtId="38" fontId="0" fillId="0" borderId="10" xfId="33" applyFont="1" applyBorder="1" applyAlignment="1" applyProtection="1">
      <alignment horizontal="center" vertical="center"/>
    </xf>
    <xf numFmtId="38" fontId="0" fillId="0" borderId="0" xfId="33" applyFont="1" applyBorder="1" applyAlignment="1" applyProtection="1">
      <alignment horizontal="right" vertical="center"/>
    </xf>
    <xf numFmtId="38" fontId="21" fillId="19" borderId="10" xfId="33" applyFont="1" applyFill="1" applyBorder="1" applyAlignment="1" applyProtection="1">
      <alignment horizontal="center" vertical="center"/>
    </xf>
    <xf numFmtId="38" fontId="1" fillId="19" borderId="10" xfId="33" applyFont="1" applyFill="1" applyBorder="1" applyAlignment="1" applyProtection="1">
      <alignment horizontal="center" vertical="center"/>
    </xf>
    <xf numFmtId="40" fontId="55" fillId="19" borderId="46" xfId="34" applyNumberFormat="1" applyFont="1" applyFill="1" applyBorder="1" applyAlignment="1" applyProtection="1">
      <alignment horizontal="right" vertical="center"/>
    </xf>
    <xf numFmtId="38" fontId="21" fillId="19" borderId="11" xfId="33" applyFont="1" applyFill="1" applyBorder="1" applyAlignment="1" applyProtection="1">
      <alignment horizontal="left" vertical="center"/>
    </xf>
    <xf numFmtId="38" fontId="1" fillId="19" borderId="24" xfId="33" applyFont="1" applyFill="1" applyBorder="1" applyAlignment="1" applyProtection="1">
      <alignment horizontal="center" vertical="center"/>
    </xf>
    <xf numFmtId="38" fontId="21" fillId="19" borderId="12" xfId="33" applyFont="1" applyFill="1" applyBorder="1" applyAlignment="1" applyProtection="1">
      <alignment vertical="center" wrapText="1"/>
    </xf>
    <xf numFmtId="40" fontId="55" fillId="19" borderId="47" xfId="34" applyNumberFormat="1" applyFont="1" applyFill="1" applyBorder="1" applyAlignment="1" applyProtection="1">
      <alignment horizontal="right" vertical="center"/>
    </xf>
    <xf numFmtId="38" fontId="21" fillId="19" borderId="13" xfId="33" applyFont="1" applyFill="1" applyBorder="1" applyAlignment="1" applyProtection="1">
      <alignment horizontal="left" vertical="center"/>
    </xf>
    <xf numFmtId="38" fontId="1" fillId="19" borderId="25" xfId="33" applyFont="1" applyFill="1" applyBorder="1" applyAlignment="1" applyProtection="1">
      <alignment horizontal="center" vertical="center"/>
    </xf>
    <xf numFmtId="38" fontId="21" fillId="19" borderId="14" xfId="33" applyFont="1" applyFill="1" applyBorder="1" applyAlignment="1" applyProtection="1">
      <alignment vertical="center" wrapText="1"/>
    </xf>
    <xf numFmtId="40" fontId="55" fillId="19" borderId="48" xfId="34" applyNumberFormat="1" applyFont="1" applyFill="1" applyBorder="1" applyAlignment="1" applyProtection="1">
      <alignment horizontal="right" vertical="center"/>
    </xf>
    <xf numFmtId="38" fontId="21" fillId="19" borderId="15" xfId="33" applyFont="1" applyFill="1" applyBorder="1" applyAlignment="1" applyProtection="1">
      <alignment horizontal="left" vertical="center"/>
    </xf>
    <xf numFmtId="38" fontId="22" fillId="19" borderId="43" xfId="33" applyFont="1" applyFill="1" applyBorder="1" applyAlignment="1" applyProtection="1">
      <alignment horizontal="center" vertical="center"/>
    </xf>
    <xf numFmtId="38" fontId="26" fillId="19" borderId="43" xfId="33" applyFont="1" applyFill="1" applyBorder="1" applyAlignment="1" applyProtection="1">
      <alignment horizontal="center" vertical="center"/>
    </xf>
    <xf numFmtId="38" fontId="21" fillId="19" borderId="10" xfId="33" applyFont="1" applyFill="1" applyBorder="1" applyAlignment="1" applyProtection="1">
      <alignment horizontal="center" vertical="center" wrapText="1"/>
    </xf>
    <xf numFmtId="38" fontId="21" fillId="19" borderId="10" xfId="33" applyFont="1" applyFill="1" applyBorder="1" applyAlignment="1" applyProtection="1">
      <alignment horizontal="center" vertical="center"/>
    </xf>
    <xf numFmtId="38" fontId="0" fillId="0" borderId="0" xfId="33" applyFont="1" applyBorder="1" applyAlignment="1" applyProtection="1">
      <alignment horizontal="right" vertical="center"/>
    </xf>
    <xf numFmtId="38" fontId="21" fillId="19" borderId="24" xfId="33" applyFont="1" applyFill="1" applyBorder="1" applyAlignment="1" applyProtection="1">
      <alignment horizontal="left" vertical="center" wrapText="1"/>
    </xf>
    <xf numFmtId="38" fontId="21" fillId="19" borderId="25" xfId="33" applyFont="1" applyFill="1" applyBorder="1" applyAlignment="1" applyProtection="1">
      <alignment horizontal="left" vertical="center" wrapText="1"/>
    </xf>
    <xf numFmtId="38" fontId="43" fillId="19" borderId="40" xfId="33" applyFont="1" applyFill="1" applyBorder="1" applyAlignment="1" applyProtection="1">
      <alignment horizontal="right" vertical="center"/>
    </xf>
    <xf numFmtId="38" fontId="22" fillId="24" borderId="41" xfId="33" applyFont="1" applyFill="1" applyBorder="1" applyAlignment="1" applyProtection="1">
      <alignment horizontal="center" vertical="center"/>
    </xf>
    <xf numFmtId="38" fontId="22" fillId="24" borderId="42" xfId="33" applyFont="1" applyFill="1" applyBorder="1" applyAlignment="1" applyProtection="1">
      <alignment horizontal="center" vertical="center"/>
    </xf>
    <xf numFmtId="38" fontId="22" fillId="24" borderId="45" xfId="33" applyFont="1" applyFill="1" applyBorder="1" applyAlignment="1" applyProtection="1">
      <alignment horizontal="center" vertical="center"/>
    </xf>
    <xf numFmtId="38" fontId="13" fillId="0" borderId="45" xfId="33" applyFont="1" applyBorder="1" applyAlignment="1" applyProtection="1">
      <alignment horizontal="right" vertical="center"/>
    </xf>
    <xf numFmtId="38" fontId="21" fillId="19" borderId="10" xfId="33" applyFont="1" applyFill="1" applyBorder="1" applyAlignment="1" applyProtection="1">
      <alignment horizontal="left" vertical="center" wrapText="1"/>
    </xf>
    <xf numFmtId="38" fontId="22" fillId="19" borderId="49" xfId="33" applyFont="1" applyFill="1" applyBorder="1" applyAlignment="1" applyProtection="1">
      <alignment horizontal="right" vertical="center"/>
    </xf>
    <xf numFmtId="38" fontId="22" fillId="19" borderId="50" xfId="33" applyFont="1" applyFill="1" applyBorder="1" applyAlignment="1" applyProtection="1">
      <alignment horizontal="right" vertical="center"/>
    </xf>
    <xf numFmtId="178" fontId="31" fillId="18" borderId="31" xfId="0" applyNumberFormat="1" applyFont="1" applyFill="1" applyBorder="1" applyAlignment="1" applyProtection="1">
      <alignment horizontal="right" vertical="center" wrapText="1"/>
      <protection locked="0"/>
    </xf>
    <xf numFmtId="178" fontId="31" fillId="18" borderId="32" xfId="0" applyNumberFormat="1" applyFont="1" applyFill="1" applyBorder="1" applyAlignment="1" applyProtection="1">
      <alignment horizontal="right" vertical="center" wrapText="1"/>
      <protection locked="0"/>
    </xf>
    <xf numFmtId="38" fontId="25" fillId="18" borderId="31" xfId="33" applyFont="1" applyFill="1" applyBorder="1" applyAlignment="1" applyProtection="1">
      <alignment horizontal="right" vertical="center"/>
      <protection locked="0"/>
    </xf>
    <xf numFmtId="38" fontId="25" fillId="18" borderId="32" xfId="33" applyFont="1" applyFill="1" applyBorder="1" applyAlignment="1" applyProtection="1">
      <alignment horizontal="right" vertical="center"/>
      <protection locked="0"/>
    </xf>
    <xf numFmtId="38" fontId="47" fillId="19" borderId="31" xfId="33" applyFont="1" applyFill="1" applyBorder="1" applyAlignment="1" applyProtection="1">
      <alignment horizontal="left" vertical="center" wrapText="1"/>
    </xf>
    <xf numFmtId="38" fontId="47" fillId="19" borderId="60" xfId="33" applyFont="1" applyFill="1" applyBorder="1" applyAlignment="1" applyProtection="1">
      <alignment horizontal="left" vertical="center" wrapText="1"/>
    </xf>
    <xf numFmtId="38" fontId="47" fillId="19" borderId="32" xfId="33" applyFont="1" applyFill="1" applyBorder="1" applyAlignment="1" applyProtection="1">
      <alignment horizontal="left" vertical="center" wrapText="1"/>
    </xf>
    <xf numFmtId="178" fontId="25" fillId="19" borderId="0" xfId="0" applyNumberFormat="1" applyFont="1" applyFill="1" applyAlignment="1">
      <alignment horizontal="left" vertical="center" wrapText="1"/>
    </xf>
    <xf numFmtId="38" fontId="21" fillId="19" borderId="16" xfId="33" applyFont="1" applyFill="1" applyBorder="1" applyAlignment="1" applyProtection="1">
      <alignment horizontal="left" vertical="center" wrapText="1"/>
    </xf>
    <xf numFmtId="38" fontId="21" fillId="19" borderId="26" xfId="33" applyFont="1" applyFill="1" applyBorder="1" applyAlignment="1" applyProtection="1">
      <alignment horizontal="left" vertical="center" wrapText="1"/>
    </xf>
    <xf numFmtId="38" fontId="26" fillId="19" borderId="50" xfId="33" applyFont="1" applyFill="1" applyBorder="1" applyAlignment="1" applyProtection="1">
      <alignment horizontal="right" vertical="center"/>
    </xf>
    <xf numFmtId="38" fontId="25" fillId="19" borderId="31" xfId="33" applyFont="1" applyFill="1" applyBorder="1" applyAlignment="1" applyProtection="1">
      <alignment horizontal="right" vertical="center"/>
    </xf>
    <xf numFmtId="38" fontId="25" fillId="19" borderId="32" xfId="33" applyFont="1" applyFill="1" applyBorder="1" applyAlignment="1" applyProtection="1">
      <alignment horizontal="right" vertical="center"/>
    </xf>
    <xf numFmtId="38" fontId="22" fillId="19" borderId="59" xfId="33" applyFont="1" applyFill="1" applyBorder="1" applyAlignment="1" applyProtection="1">
      <alignment horizontal="right" vertical="center"/>
    </xf>
    <xf numFmtId="3" fontId="25" fillId="19" borderId="31" xfId="33" applyNumberFormat="1" applyFont="1" applyFill="1" applyBorder="1" applyAlignment="1" applyProtection="1">
      <alignment horizontal="right" vertical="center"/>
    </xf>
    <xf numFmtId="3" fontId="25" fillId="19" borderId="32" xfId="33" applyNumberFormat="1" applyFont="1" applyFill="1" applyBorder="1" applyAlignment="1" applyProtection="1">
      <alignment horizontal="right" vertical="center"/>
    </xf>
    <xf numFmtId="0" fontId="48" fillId="19" borderId="51" xfId="0" applyFont="1" applyFill="1" applyBorder="1" applyAlignment="1">
      <alignment horizontal="left" vertical="center" wrapText="1"/>
    </xf>
    <xf numFmtId="0" fontId="48" fillId="19" borderId="52" xfId="0" applyFont="1" applyFill="1" applyBorder="1" applyAlignment="1">
      <alignment horizontal="left" vertical="center" wrapText="1"/>
    </xf>
    <xf numFmtId="38" fontId="22" fillId="19" borderId="49" xfId="33" applyFont="1" applyFill="1" applyBorder="1" applyAlignment="1" applyProtection="1">
      <alignment horizontal="right" vertical="center" wrapText="1"/>
    </xf>
    <xf numFmtId="0" fontId="36" fillId="19" borderId="0" xfId="0" applyFont="1" applyFill="1" applyAlignment="1">
      <alignment horizontal="center" vertical="center" wrapText="1"/>
    </xf>
    <xf numFmtId="0" fontId="36" fillId="19" borderId="54" xfId="0" applyFont="1" applyFill="1" applyBorder="1" applyAlignment="1">
      <alignment horizontal="left" vertical="center" wrapText="1"/>
    </xf>
    <xf numFmtId="0" fontId="36" fillId="19" borderId="0" xfId="0" applyFont="1" applyFill="1" applyAlignment="1">
      <alignment horizontal="left" vertical="center" wrapText="1"/>
    </xf>
    <xf numFmtId="182" fontId="0" fillId="0" borderId="10" xfId="33" applyNumberFormat="1" applyFont="1" applyBorder="1" applyAlignment="1" applyProtection="1">
      <alignment horizontal="center" vertical="center"/>
    </xf>
    <xf numFmtId="38" fontId="0" fillId="0" borderId="10" xfId="33" applyFont="1" applyBorder="1" applyAlignment="1" applyProtection="1">
      <alignment horizontal="center" vertical="center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桁区切り 2" xfId="34" xr:uid="{00000000-0005-0000-0000-000021000000}"/>
    <cellStyle name="見出し 1" xfId="35" builtinId="16" customBuiltin="1"/>
    <cellStyle name="見出し 2" xfId="36" builtinId="17" customBuiltin="1"/>
    <cellStyle name="見出し 3" xfId="37" builtinId="18" customBuiltin="1"/>
    <cellStyle name="見出し 4" xfId="38" builtinId="19" customBuiltin="1"/>
    <cellStyle name="集計" xfId="39" builtinId="25" customBuiltin="1"/>
    <cellStyle name="出力" xfId="40" builtinId="21" customBuiltin="1"/>
    <cellStyle name="説明文" xfId="41" builtinId="53" customBuiltin="1"/>
    <cellStyle name="入力" xfId="42" builtinId="20" customBuiltin="1"/>
    <cellStyle name="標準" xfId="0" builtinId="0"/>
    <cellStyle name="良い" xfId="43" builtinId="26" customBuiltin="1"/>
  </cellStyles>
  <dxfs count="18"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1059</xdr:colOff>
      <xdr:row>15</xdr:row>
      <xdr:rowOff>2117</xdr:rowOff>
    </xdr:from>
    <xdr:to>
      <xdr:col>5</xdr:col>
      <xdr:colOff>283187</xdr:colOff>
      <xdr:row>18</xdr:row>
      <xdr:rowOff>35984</xdr:rowOff>
    </xdr:to>
    <xdr:cxnSp macro="">
      <xdr:nvCxnSpPr>
        <xdr:cNvPr id="2" name="直線矢印コネクタ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 flipH="1" flipV="1">
          <a:off x="4108874" y="3330787"/>
          <a:ext cx="277706" cy="681567"/>
        </a:xfrm>
        <a:prstGeom prst="straightConnector1">
          <a:avLst/>
        </a:prstGeom>
        <a:ln w="38100">
          <a:prstDash val="sysDot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567267</xdr:colOff>
      <xdr:row>23</xdr:row>
      <xdr:rowOff>160868</xdr:rowOff>
    </xdr:from>
    <xdr:to>
      <xdr:col>22</xdr:col>
      <xdr:colOff>110067</xdr:colOff>
      <xdr:row>24</xdr:row>
      <xdr:rowOff>296334</xdr:rowOff>
    </xdr:to>
    <xdr:sp macro="" textlink="">
      <xdr:nvSpPr>
        <xdr:cNvPr id="3" name="吹き出し: 2 つ折線 (枠なし) 2">
          <a:extLst>
            <a:ext uri="{FF2B5EF4-FFF2-40B4-BE49-F238E27FC236}">
              <a16:creationId xmlns:a16="http://schemas.microsoft.com/office/drawing/2014/main" id="{DCBCA4B4-3B3A-4980-BA16-FE79BBA6CAB0}"/>
            </a:ext>
          </a:extLst>
        </xdr:cNvPr>
        <xdr:cNvSpPr/>
      </xdr:nvSpPr>
      <xdr:spPr>
        <a:xfrm>
          <a:off x="13241867" y="6790268"/>
          <a:ext cx="1938867" cy="609599"/>
        </a:xfrm>
        <a:prstGeom prst="callout3">
          <a:avLst>
            <a:gd name="adj1" fmla="val 18750"/>
            <a:gd name="adj2" fmla="val -8333"/>
            <a:gd name="adj3" fmla="val 18750"/>
            <a:gd name="adj4" fmla="val -16667"/>
            <a:gd name="adj5" fmla="val 100000"/>
            <a:gd name="adj6" fmla="val -16667"/>
            <a:gd name="adj7" fmla="val 420066"/>
            <a:gd name="adj8" fmla="val 58990"/>
          </a:avLst>
        </a:prstGeom>
        <a:solidFill>
          <a:schemeClr val="accent5">
            <a:lumMod val="40000"/>
            <a:lumOff val="60000"/>
          </a:schemeClr>
        </a:solidFill>
        <a:ln>
          <a:solidFill>
            <a:srgbClr val="00B0F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/>
            <a:t>450,000</a:t>
          </a:r>
          <a:r>
            <a:rPr kumimoji="1" lang="ja-JP" altLang="en-US" sz="1100"/>
            <a:t>＋</a:t>
          </a:r>
          <a:r>
            <a:rPr kumimoji="1" lang="en-US" altLang="ja-JP" sz="1100"/>
            <a:t>50,000</a:t>
          </a:r>
          <a:r>
            <a:rPr kumimoji="1" lang="ja-JP" altLang="en-US" sz="1100"/>
            <a:t>＝補助残取得価額（</a:t>
          </a:r>
          <a:r>
            <a:rPr kumimoji="1" lang="en-US" altLang="ja-JP" sz="1100"/>
            <a:t>500,000</a:t>
          </a:r>
          <a:r>
            <a:rPr kumimoji="1" lang="ja-JP" altLang="en-US" sz="1100"/>
            <a:t>円）</a:t>
          </a:r>
        </a:p>
      </xdr:txBody>
    </xdr:sp>
    <xdr:clientData/>
  </xdr:twoCellAnchor>
  <xdr:twoCellAnchor>
    <xdr:from>
      <xdr:col>15</xdr:col>
      <xdr:colOff>575733</xdr:colOff>
      <xdr:row>23</xdr:row>
      <xdr:rowOff>152402</xdr:rowOff>
    </xdr:from>
    <xdr:to>
      <xdr:col>22</xdr:col>
      <xdr:colOff>211666</xdr:colOff>
      <xdr:row>24</xdr:row>
      <xdr:rowOff>270935</xdr:rowOff>
    </xdr:to>
    <xdr:sp macro="" textlink="">
      <xdr:nvSpPr>
        <xdr:cNvPr id="4" name="吹き出し: 2 つ折線 (枠なし) 3">
          <a:extLst>
            <a:ext uri="{FF2B5EF4-FFF2-40B4-BE49-F238E27FC236}">
              <a16:creationId xmlns:a16="http://schemas.microsoft.com/office/drawing/2014/main" id="{4E928D3D-E399-4C80-98F3-53CB8B0B2EDB}"/>
            </a:ext>
          </a:extLst>
        </xdr:cNvPr>
        <xdr:cNvSpPr/>
      </xdr:nvSpPr>
      <xdr:spPr>
        <a:xfrm>
          <a:off x="13839296" y="6784183"/>
          <a:ext cx="2302933" cy="582877"/>
        </a:xfrm>
        <a:prstGeom prst="callout3">
          <a:avLst>
            <a:gd name="adj1" fmla="val 18750"/>
            <a:gd name="adj2" fmla="val -8333"/>
            <a:gd name="adj3" fmla="val 18750"/>
            <a:gd name="adj4" fmla="val -16667"/>
            <a:gd name="adj5" fmla="val 100000"/>
            <a:gd name="adj6" fmla="val -16667"/>
            <a:gd name="adj7" fmla="val 321158"/>
            <a:gd name="adj8" fmla="val 56774"/>
          </a:avLst>
        </a:prstGeom>
        <a:solidFill>
          <a:schemeClr val="accent5">
            <a:lumMod val="40000"/>
            <a:lumOff val="60000"/>
          </a:schemeClr>
        </a:solidFill>
        <a:ln>
          <a:solidFill>
            <a:srgbClr val="00B0F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 b="1"/>
            <a:t>基本貸付料＋譲渡価額＝補助残取得価額</a:t>
          </a:r>
          <a:endParaRPr kumimoji="1" lang="ja-JP" altLang="en-US" sz="1300" b="1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17"/>
  <sheetViews>
    <sheetView showGridLines="0" showZeros="0" tabSelected="1" view="pageBreakPreview" topLeftCell="A8" zoomScale="80" zoomScaleNormal="100" zoomScaleSheetLayoutView="80" workbookViewId="0">
      <selection activeCell="C33" activeCellId="1" sqref="C32 C33"/>
    </sheetView>
  </sheetViews>
  <sheetFormatPr defaultColWidth="8.875" defaultRowHeight="13.5"/>
  <cols>
    <col min="1" max="1" width="9.125" style="3" customWidth="1"/>
    <col min="2" max="2" width="24.375" style="3" customWidth="1"/>
    <col min="3" max="3" width="10.625" style="3" customWidth="1"/>
    <col min="4" max="5" width="11.125" style="3" customWidth="1"/>
    <col min="6" max="6" width="10.625" style="3" customWidth="1"/>
    <col min="7" max="8" width="11.125" style="3" customWidth="1"/>
    <col min="9" max="14" width="10.625" style="3" customWidth="1"/>
    <col min="15" max="17" width="11.25" style="3" bestFit="1" customWidth="1"/>
    <col min="18" max="21" width="11" style="3" hidden="1" customWidth="1"/>
    <col min="22" max="22" width="12.5" style="3" customWidth="1"/>
    <col min="23" max="23" width="5.5" style="3" customWidth="1"/>
    <col min="24" max="24" width="2.125" style="3" customWidth="1"/>
    <col min="25" max="16384" width="8.875" style="3"/>
  </cols>
  <sheetData>
    <row r="1" spans="1:23" s="1" customFormat="1" ht="35.1" customHeight="1">
      <c r="A1" s="198" t="s">
        <v>105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99"/>
      <c r="O1" s="199"/>
      <c r="P1" s="199"/>
      <c r="Q1" s="199"/>
      <c r="R1" s="199"/>
      <c r="S1" s="199"/>
      <c r="T1" s="199"/>
      <c r="U1" s="199"/>
      <c r="V1" s="199"/>
      <c r="W1" s="79"/>
    </row>
    <row r="2" spans="1:23" s="76" customFormat="1" ht="17.45" customHeight="1">
      <c r="A2" s="80"/>
      <c r="B2" s="81"/>
      <c r="C2" s="81"/>
      <c r="D2" s="81"/>
      <c r="E2" s="81"/>
      <c r="F2" s="81"/>
      <c r="G2" s="81"/>
      <c r="H2" s="81"/>
      <c r="I2" s="81"/>
      <c r="J2" s="81"/>
      <c r="K2" s="201" t="s">
        <v>66</v>
      </c>
      <c r="L2" s="201"/>
      <c r="M2" s="201"/>
      <c r="N2" s="201"/>
      <c r="O2" s="201"/>
      <c r="P2" s="201"/>
      <c r="Q2" s="201"/>
      <c r="R2" s="81"/>
      <c r="S2" s="81"/>
      <c r="T2" s="81"/>
      <c r="U2" s="81"/>
      <c r="V2" s="81"/>
      <c r="W2" s="82"/>
    </row>
    <row r="3" spans="1:23" s="2" customFormat="1" ht="10.35" customHeight="1">
      <c r="A3" s="83"/>
      <c r="B3" s="84"/>
      <c r="C3" s="84"/>
      <c r="D3" s="84"/>
      <c r="E3" s="84"/>
      <c r="F3" s="84"/>
      <c r="G3" s="84"/>
      <c r="H3" s="84"/>
      <c r="I3" s="84"/>
      <c r="J3" s="84"/>
      <c r="K3" s="84"/>
      <c r="L3" s="85"/>
      <c r="M3" s="85"/>
      <c r="N3" s="85"/>
      <c r="O3" s="84"/>
      <c r="P3" s="84"/>
      <c r="Q3" s="84"/>
      <c r="R3" s="84"/>
      <c r="S3" s="84"/>
      <c r="T3" s="84"/>
      <c r="U3" s="84"/>
      <c r="V3" s="84"/>
      <c r="W3" s="86"/>
    </row>
    <row r="4" spans="1:23" s="2" customFormat="1" ht="20.45" customHeight="1">
      <c r="A4" s="202" t="s">
        <v>65</v>
      </c>
      <c r="B4" s="203"/>
      <c r="C4" s="203"/>
      <c r="D4" s="203"/>
      <c r="E4" s="203"/>
      <c r="F4" s="203"/>
      <c r="G4" s="203"/>
      <c r="H4" s="203"/>
      <c r="I4" s="203"/>
      <c r="J4" s="203"/>
      <c r="K4" s="203"/>
      <c r="L4" s="203"/>
      <c r="M4" s="203"/>
      <c r="N4" s="203"/>
      <c r="O4" s="87"/>
      <c r="P4" s="87"/>
      <c r="Q4" s="87"/>
      <c r="R4" s="87"/>
      <c r="S4" s="87"/>
      <c r="T4" s="87"/>
      <c r="U4" s="87"/>
      <c r="V4" s="87"/>
      <c r="W4" s="86"/>
    </row>
    <row r="5" spans="1:23" s="2" customFormat="1" ht="20.45" customHeight="1">
      <c r="A5" s="202" t="s">
        <v>96</v>
      </c>
      <c r="B5" s="203"/>
      <c r="C5" s="203"/>
      <c r="D5" s="203"/>
      <c r="E5" s="203"/>
      <c r="F5" s="203"/>
      <c r="G5" s="203"/>
      <c r="H5" s="203"/>
      <c r="I5" s="203"/>
      <c r="J5" s="203"/>
      <c r="K5" s="203"/>
      <c r="L5" s="203"/>
      <c r="M5" s="203"/>
      <c r="N5" s="203"/>
      <c r="O5" s="87"/>
      <c r="P5" s="87"/>
      <c r="Q5" s="87"/>
      <c r="R5" s="87"/>
      <c r="S5" s="87"/>
      <c r="T5" s="87"/>
      <c r="U5" s="87"/>
      <c r="V5" s="87"/>
      <c r="W5" s="86"/>
    </row>
    <row r="6" spans="1:23" ht="14.25" thickBot="1">
      <c r="A6" s="88"/>
      <c r="B6" s="89"/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89"/>
      <c r="S6" s="89"/>
      <c r="T6" s="89"/>
      <c r="U6" s="89"/>
      <c r="V6" s="89"/>
      <c r="W6" s="90"/>
    </row>
    <row r="7" spans="1:23" s="4" customFormat="1" ht="22.7" customHeight="1" thickBot="1">
      <c r="A7" s="91"/>
      <c r="B7" s="180" t="s">
        <v>89</v>
      </c>
      <c r="C7" s="181"/>
      <c r="D7" s="184">
        <v>5600000</v>
      </c>
      <c r="E7" s="185"/>
      <c r="F7" s="92" t="s">
        <v>91</v>
      </c>
      <c r="G7" s="93"/>
      <c r="H7" s="93"/>
      <c r="I7" s="93"/>
      <c r="J7" s="93"/>
      <c r="K7" s="93"/>
      <c r="L7" s="93"/>
      <c r="M7" s="94"/>
      <c r="N7" s="94"/>
      <c r="O7" s="94"/>
      <c r="P7" s="94"/>
      <c r="Q7" s="94"/>
      <c r="R7" s="94"/>
      <c r="S7" s="94"/>
      <c r="T7" s="94"/>
      <c r="U7" s="94"/>
      <c r="V7" s="94"/>
      <c r="W7" s="95"/>
    </row>
    <row r="8" spans="1:23" s="4" customFormat="1" ht="29.45" customHeight="1" thickBot="1">
      <c r="A8" s="91"/>
      <c r="B8" s="200" t="s">
        <v>90</v>
      </c>
      <c r="C8" s="181"/>
      <c r="D8" s="184"/>
      <c r="E8" s="185"/>
      <c r="F8" s="92" t="s">
        <v>92</v>
      </c>
      <c r="G8" s="93"/>
      <c r="H8" s="93"/>
      <c r="I8" s="93"/>
      <c r="J8" s="93"/>
      <c r="K8" s="93"/>
      <c r="L8" s="93"/>
      <c r="M8" s="94"/>
      <c r="N8" s="94"/>
      <c r="O8" s="94"/>
      <c r="P8" s="94"/>
      <c r="Q8" s="94"/>
      <c r="R8" s="94"/>
      <c r="S8" s="94"/>
      <c r="T8" s="94"/>
      <c r="U8" s="94"/>
      <c r="V8" s="94"/>
      <c r="W8" s="95"/>
    </row>
    <row r="9" spans="1:23" s="4" customFormat="1" ht="20.45" customHeight="1" thickBot="1">
      <c r="A9" s="91"/>
      <c r="B9" s="180" t="s">
        <v>88</v>
      </c>
      <c r="C9" s="192"/>
      <c r="D9" s="193">
        <f>D7+D8</f>
        <v>5600000</v>
      </c>
      <c r="E9" s="194"/>
      <c r="F9" s="92" t="s">
        <v>91</v>
      </c>
      <c r="G9" s="93"/>
      <c r="H9" s="93"/>
      <c r="I9" s="93"/>
      <c r="J9" s="93"/>
      <c r="K9" s="93"/>
      <c r="L9" s="93"/>
      <c r="M9" s="94"/>
      <c r="N9" s="94"/>
      <c r="O9" s="94"/>
      <c r="P9" s="94"/>
      <c r="Q9" s="94"/>
      <c r="R9" s="94"/>
      <c r="S9" s="94"/>
      <c r="T9" s="94"/>
      <c r="U9" s="94"/>
      <c r="V9" s="94"/>
      <c r="W9" s="95"/>
    </row>
    <row r="10" spans="1:23" s="4" customFormat="1" ht="20.45" customHeight="1" thickBot="1">
      <c r="A10" s="91"/>
      <c r="B10" s="180" t="s">
        <v>71</v>
      </c>
      <c r="C10" s="192"/>
      <c r="D10" s="184">
        <v>3733000</v>
      </c>
      <c r="E10" s="185"/>
      <c r="F10" s="92" t="s">
        <v>19</v>
      </c>
      <c r="G10" s="93"/>
      <c r="H10" s="93"/>
      <c r="I10" s="93"/>
      <c r="J10" s="93"/>
      <c r="K10" s="93"/>
      <c r="L10" s="93"/>
      <c r="M10" s="94"/>
      <c r="N10" s="94"/>
      <c r="O10" s="94"/>
      <c r="P10" s="94"/>
      <c r="Q10" s="94"/>
      <c r="R10" s="94"/>
      <c r="S10" s="94"/>
      <c r="T10" s="94"/>
      <c r="U10" s="94"/>
      <c r="V10" s="94"/>
      <c r="W10" s="95"/>
    </row>
    <row r="11" spans="1:23" s="4" customFormat="1" ht="22.7" customHeight="1" thickBot="1">
      <c r="A11" s="91"/>
      <c r="B11" s="180" t="s">
        <v>72</v>
      </c>
      <c r="C11" s="192"/>
      <c r="D11" s="193">
        <f>D9-D10</f>
        <v>1867000</v>
      </c>
      <c r="E11" s="194"/>
      <c r="F11" s="92" t="s">
        <v>19</v>
      </c>
      <c r="G11" s="93"/>
      <c r="H11" s="93"/>
      <c r="I11" s="93"/>
      <c r="J11" s="93"/>
      <c r="K11" s="93"/>
      <c r="L11" s="93"/>
      <c r="M11" s="94"/>
      <c r="N11" s="94"/>
      <c r="O11" s="94"/>
      <c r="P11" s="94"/>
      <c r="Q11" s="94"/>
      <c r="R11" s="94"/>
      <c r="S11" s="94"/>
      <c r="T11" s="94"/>
      <c r="U11" s="94"/>
      <c r="V11" s="94"/>
      <c r="W11" s="95"/>
    </row>
    <row r="12" spans="1:23" s="4" customFormat="1" ht="22.7" customHeight="1" thickBot="1">
      <c r="A12" s="195" t="s">
        <v>95</v>
      </c>
      <c r="B12" s="180"/>
      <c r="C12" s="181"/>
      <c r="D12" s="196">
        <f>INT(D11*F12)</f>
        <v>0</v>
      </c>
      <c r="E12" s="197"/>
      <c r="F12" s="151">
        <v>0</v>
      </c>
      <c r="G12" s="93"/>
      <c r="H12" s="93"/>
      <c r="I12" s="93"/>
      <c r="J12" s="93"/>
      <c r="K12" s="93"/>
      <c r="L12" s="93"/>
      <c r="M12" s="94"/>
      <c r="N12" s="94"/>
      <c r="O12" s="94"/>
      <c r="P12" s="94"/>
      <c r="Q12" s="94"/>
      <c r="R12" s="94"/>
      <c r="S12" s="94"/>
      <c r="T12" s="94"/>
      <c r="U12" s="94"/>
      <c r="V12" s="94"/>
      <c r="W12" s="95"/>
    </row>
    <row r="13" spans="1:23" s="4" customFormat="1" ht="22.7" customHeight="1" thickBot="1">
      <c r="A13" s="91"/>
      <c r="B13" s="180" t="s">
        <v>56</v>
      </c>
      <c r="C13" s="181"/>
      <c r="D13" s="184">
        <v>4</v>
      </c>
      <c r="E13" s="185"/>
      <c r="F13" s="92" t="s">
        <v>18</v>
      </c>
      <c r="G13" s="96"/>
      <c r="H13" s="93"/>
      <c r="I13" s="93"/>
      <c r="J13" s="93"/>
      <c r="K13" s="93"/>
      <c r="L13" s="93"/>
      <c r="M13" s="94"/>
      <c r="N13" s="94"/>
      <c r="O13" s="94"/>
      <c r="P13" s="94"/>
      <c r="Q13" s="94"/>
      <c r="R13" s="94"/>
      <c r="S13" s="94"/>
      <c r="T13" s="94"/>
      <c r="U13" s="94"/>
      <c r="V13" s="94"/>
      <c r="W13" s="95"/>
    </row>
    <row r="14" spans="1:23" s="4" customFormat="1" ht="25.35" customHeight="1" thickBot="1">
      <c r="A14" s="91"/>
      <c r="B14" s="180" t="s">
        <v>57</v>
      </c>
      <c r="C14" s="181"/>
      <c r="D14" s="182">
        <v>46082</v>
      </c>
      <c r="E14" s="183"/>
      <c r="F14" s="97" t="s">
        <v>47</v>
      </c>
      <c r="G14" s="189">
        <f>IF(D14="","",EDATE(D14,D13*12)-1)</f>
        <v>47542</v>
      </c>
      <c r="H14" s="189"/>
      <c r="I14" s="94"/>
      <c r="J14" s="94"/>
      <c r="K14" s="94"/>
      <c r="L14" s="94"/>
      <c r="M14" s="94"/>
      <c r="N14" s="94"/>
      <c r="O14" s="94"/>
      <c r="P14" s="94"/>
      <c r="Q14" s="94"/>
      <c r="R14" s="94"/>
      <c r="S14" s="94"/>
      <c r="T14" s="94"/>
      <c r="U14" s="94"/>
      <c r="V14" s="94"/>
      <c r="W14" s="95"/>
    </row>
    <row r="15" spans="1:23" s="4" customFormat="1" ht="26.45" customHeight="1" thickBot="1">
      <c r="A15" s="195" t="s">
        <v>86</v>
      </c>
      <c r="B15" s="180"/>
      <c r="C15" s="181"/>
      <c r="D15" s="184">
        <v>1</v>
      </c>
      <c r="E15" s="185"/>
      <c r="F15" s="93"/>
      <c r="G15" s="93"/>
      <c r="H15" s="93"/>
      <c r="I15" s="186" t="s">
        <v>98</v>
      </c>
      <c r="J15" s="187"/>
      <c r="K15" s="187"/>
      <c r="L15" s="187"/>
      <c r="M15" s="187"/>
      <c r="N15" s="187"/>
      <c r="O15" s="188"/>
      <c r="P15" s="94"/>
      <c r="Q15" s="94"/>
      <c r="R15" s="94"/>
      <c r="S15" s="94"/>
      <c r="T15" s="94"/>
      <c r="U15" s="94"/>
      <c r="V15" s="94"/>
      <c r="W15" s="95"/>
    </row>
    <row r="16" spans="1:23" s="4" customFormat="1" ht="5.0999999999999996" customHeight="1">
      <c r="A16" s="98"/>
      <c r="B16" s="99"/>
      <c r="C16" s="99"/>
      <c r="D16" s="100"/>
      <c r="E16" s="100"/>
      <c r="F16" s="93"/>
      <c r="G16" s="93"/>
      <c r="H16" s="93"/>
      <c r="I16" s="93"/>
      <c r="J16" s="93"/>
      <c r="K16" s="93"/>
      <c r="L16" s="93"/>
      <c r="M16" s="94"/>
      <c r="N16" s="94"/>
      <c r="O16" s="94"/>
      <c r="P16" s="94"/>
      <c r="Q16" s="94"/>
      <c r="R16" s="94"/>
      <c r="S16" s="94"/>
      <c r="T16" s="94"/>
      <c r="U16" s="94"/>
      <c r="V16" s="94"/>
      <c r="W16" s="95"/>
    </row>
    <row r="17" spans="1:23" s="4" customFormat="1" ht="18" customHeight="1">
      <c r="A17" s="98"/>
      <c r="B17" s="99"/>
      <c r="C17" s="99"/>
      <c r="D17" s="100"/>
      <c r="E17" s="100"/>
      <c r="F17" s="167" t="s">
        <v>60</v>
      </c>
      <c r="G17" s="168"/>
      <c r="H17" s="168"/>
      <c r="I17" s="168"/>
      <c r="J17" s="168"/>
      <c r="K17" s="168"/>
      <c r="L17" s="168"/>
      <c r="M17" s="168"/>
      <c r="N17" s="168"/>
      <c r="O17" s="168"/>
      <c r="P17" s="94"/>
      <c r="Q17" s="94"/>
      <c r="R17" s="94"/>
      <c r="S17" s="94"/>
      <c r="T17" s="94"/>
      <c r="U17" s="94"/>
      <c r="V17" s="94"/>
      <c r="W17" s="95"/>
    </row>
    <row r="18" spans="1:23" ht="19.7" customHeight="1">
      <c r="A18" s="88"/>
      <c r="B18" s="89"/>
      <c r="C18" s="101"/>
      <c r="D18" s="89"/>
      <c r="E18" s="89"/>
      <c r="F18" s="170" t="s">
        <v>20</v>
      </c>
      <c r="G18" s="170"/>
      <c r="H18" s="170"/>
      <c r="I18" s="170"/>
      <c r="J18" s="170"/>
      <c r="K18" s="170"/>
      <c r="L18" s="170"/>
      <c r="M18" s="170"/>
      <c r="N18" s="169" t="s">
        <v>104</v>
      </c>
      <c r="O18" s="169"/>
      <c r="P18" s="89"/>
      <c r="Q18" s="89"/>
      <c r="R18" s="89"/>
      <c r="S18" s="89"/>
      <c r="T18" s="89"/>
      <c r="U18" s="89"/>
      <c r="V18" s="89"/>
      <c r="W18" s="90"/>
    </row>
    <row r="19" spans="1:23" ht="19.7" customHeight="1">
      <c r="A19" s="88"/>
      <c r="B19" s="89"/>
      <c r="C19" s="89"/>
      <c r="D19" s="89"/>
      <c r="E19" s="89"/>
      <c r="F19" s="155" t="s">
        <v>24</v>
      </c>
      <c r="G19" s="170" t="s">
        <v>25</v>
      </c>
      <c r="H19" s="170"/>
      <c r="I19" s="170" t="s">
        <v>26</v>
      </c>
      <c r="J19" s="170"/>
      <c r="K19" s="170"/>
      <c r="L19" s="170"/>
      <c r="M19" s="170"/>
      <c r="N19" s="169"/>
      <c r="O19" s="169"/>
      <c r="P19" s="89"/>
      <c r="Q19" s="89"/>
      <c r="R19" s="89"/>
      <c r="S19" s="89"/>
      <c r="T19" s="89"/>
      <c r="U19" s="89"/>
      <c r="V19" s="89"/>
      <c r="W19" s="90"/>
    </row>
    <row r="20" spans="1:23" ht="51" customHeight="1">
      <c r="A20" s="88"/>
      <c r="B20" s="89"/>
      <c r="C20" s="89"/>
      <c r="D20" s="89"/>
      <c r="E20" s="89"/>
      <c r="F20" s="156">
        <v>1</v>
      </c>
      <c r="G20" s="169" t="s">
        <v>21</v>
      </c>
      <c r="H20" s="169"/>
      <c r="I20" s="179" t="s">
        <v>27</v>
      </c>
      <c r="J20" s="179"/>
      <c r="K20" s="179"/>
      <c r="L20" s="179"/>
      <c r="M20" s="179"/>
      <c r="N20" s="157">
        <v>2.59</v>
      </c>
      <c r="O20" s="158" t="s">
        <v>19</v>
      </c>
      <c r="P20" s="89"/>
      <c r="Q20" s="89"/>
      <c r="R20" s="89"/>
      <c r="S20" s="89"/>
      <c r="T20" s="89"/>
      <c r="U20" s="89"/>
      <c r="V20" s="89"/>
      <c r="W20" s="90"/>
    </row>
    <row r="21" spans="1:23" ht="19.7" customHeight="1">
      <c r="A21" s="88"/>
      <c r="B21" s="89"/>
      <c r="C21" s="89"/>
      <c r="D21" s="89"/>
      <c r="E21" s="89"/>
      <c r="F21" s="156">
        <v>2</v>
      </c>
      <c r="G21" s="169" t="s">
        <v>22</v>
      </c>
      <c r="H21" s="169"/>
      <c r="I21" s="179" t="s">
        <v>28</v>
      </c>
      <c r="J21" s="179"/>
      <c r="K21" s="179"/>
      <c r="L21" s="179"/>
      <c r="M21" s="179"/>
      <c r="N21" s="157">
        <v>1.03</v>
      </c>
      <c r="O21" s="158" t="s">
        <v>19</v>
      </c>
      <c r="P21" s="89"/>
      <c r="Q21" s="89"/>
      <c r="R21" s="89"/>
      <c r="S21" s="89"/>
      <c r="T21" s="89"/>
      <c r="U21" s="89"/>
      <c r="V21" s="89"/>
      <c r="W21" s="90"/>
    </row>
    <row r="22" spans="1:23" ht="26.45" customHeight="1">
      <c r="A22" s="88"/>
      <c r="B22" s="89"/>
      <c r="C22" s="89"/>
      <c r="D22" s="89"/>
      <c r="E22" s="89"/>
      <c r="F22" s="156">
        <v>3</v>
      </c>
      <c r="G22" s="169" t="s">
        <v>23</v>
      </c>
      <c r="H22" s="169"/>
      <c r="I22" s="179" t="s">
        <v>29</v>
      </c>
      <c r="J22" s="179"/>
      <c r="K22" s="179"/>
      <c r="L22" s="179"/>
      <c r="M22" s="179"/>
      <c r="N22" s="157">
        <v>1.0900000000000001</v>
      </c>
      <c r="O22" s="158" t="s">
        <v>19</v>
      </c>
      <c r="P22" s="89"/>
      <c r="Q22" s="89"/>
      <c r="R22" s="89"/>
      <c r="S22" s="89"/>
      <c r="T22" s="89"/>
      <c r="U22" s="89"/>
      <c r="V22" s="89"/>
      <c r="W22" s="90"/>
    </row>
    <row r="23" spans="1:23" ht="37.35" customHeight="1">
      <c r="A23" s="88"/>
      <c r="B23" s="89"/>
      <c r="C23" s="89"/>
      <c r="D23" s="89"/>
      <c r="E23" s="89"/>
      <c r="F23" s="159">
        <v>4</v>
      </c>
      <c r="G23" s="190" t="s">
        <v>30</v>
      </c>
      <c r="H23" s="160" t="s">
        <v>31</v>
      </c>
      <c r="I23" s="172" t="s">
        <v>33</v>
      </c>
      <c r="J23" s="172"/>
      <c r="K23" s="172"/>
      <c r="L23" s="172"/>
      <c r="M23" s="172"/>
      <c r="N23" s="161">
        <v>1.91</v>
      </c>
      <c r="O23" s="162" t="s">
        <v>19</v>
      </c>
      <c r="P23" s="89"/>
      <c r="Q23" s="89"/>
      <c r="R23" s="89"/>
      <c r="S23" s="89"/>
      <c r="T23" s="89"/>
      <c r="U23" s="89"/>
      <c r="V23" s="89"/>
      <c r="W23" s="90"/>
    </row>
    <row r="24" spans="1:23" ht="37.35" customHeight="1">
      <c r="A24" s="88"/>
      <c r="B24" s="89"/>
      <c r="C24" s="89"/>
      <c r="D24" s="89"/>
      <c r="E24" s="89"/>
      <c r="F24" s="163">
        <v>5</v>
      </c>
      <c r="G24" s="191"/>
      <c r="H24" s="164" t="s">
        <v>32</v>
      </c>
      <c r="I24" s="173" t="s">
        <v>34</v>
      </c>
      <c r="J24" s="173"/>
      <c r="K24" s="173"/>
      <c r="L24" s="173"/>
      <c r="M24" s="173"/>
      <c r="N24" s="165">
        <v>2.11</v>
      </c>
      <c r="O24" s="166" t="s">
        <v>19</v>
      </c>
      <c r="P24" s="89"/>
      <c r="Q24" s="89"/>
      <c r="R24" s="89"/>
      <c r="S24" s="89"/>
      <c r="T24" s="89"/>
      <c r="U24" s="89"/>
      <c r="V24" s="89"/>
      <c r="W24" s="90"/>
    </row>
    <row r="25" spans="1:23" ht="26.45" customHeight="1">
      <c r="A25" s="88"/>
      <c r="B25" s="89"/>
      <c r="C25" s="89"/>
      <c r="D25" s="89"/>
      <c r="E25" s="89"/>
      <c r="F25" s="159">
        <v>6</v>
      </c>
      <c r="G25" s="172" t="s">
        <v>103</v>
      </c>
      <c r="H25" s="172"/>
      <c r="I25" s="172" t="s">
        <v>35</v>
      </c>
      <c r="J25" s="172"/>
      <c r="K25" s="172"/>
      <c r="L25" s="172"/>
      <c r="M25" s="172"/>
      <c r="N25" s="161">
        <v>1.03</v>
      </c>
      <c r="O25" s="162" t="s">
        <v>19</v>
      </c>
      <c r="P25" s="89"/>
      <c r="Q25" s="89"/>
      <c r="R25" s="89"/>
      <c r="S25" s="89"/>
      <c r="T25" s="89"/>
      <c r="U25" s="89"/>
      <c r="V25" s="89"/>
      <c r="W25" s="90"/>
    </row>
    <row r="26" spans="1:23" ht="17.45" customHeight="1">
      <c r="A26" s="88"/>
      <c r="B26" s="89"/>
      <c r="C26" s="89"/>
      <c r="D26" s="89"/>
      <c r="E26" s="89"/>
      <c r="F26" s="163">
        <v>7</v>
      </c>
      <c r="G26" s="173"/>
      <c r="H26" s="173"/>
      <c r="I26" s="173" t="s">
        <v>36</v>
      </c>
      <c r="J26" s="173"/>
      <c r="K26" s="173"/>
      <c r="L26" s="173"/>
      <c r="M26" s="173"/>
      <c r="N26" s="165">
        <v>1.35</v>
      </c>
      <c r="O26" s="166" t="s">
        <v>19</v>
      </c>
      <c r="P26" s="89"/>
      <c r="Q26" s="89"/>
      <c r="R26" s="89"/>
      <c r="S26" s="89"/>
      <c r="T26" s="89"/>
      <c r="U26" s="89"/>
      <c r="V26" s="89"/>
      <c r="W26" s="90"/>
    </row>
    <row r="27" spans="1:23" ht="9" customHeight="1">
      <c r="A27" s="88"/>
      <c r="B27" s="89"/>
      <c r="C27" s="89"/>
      <c r="D27" s="89"/>
      <c r="E27" s="89"/>
      <c r="F27" s="102"/>
      <c r="G27" s="103"/>
      <c r="H27" s="103"/>
      <c r="I27" s="103"/>
      <c r="J27" s="103"/>
      <c r="K27" s="103"/>
      <c r="L27" s="103"/>
      <c r="M27" s="103"/>
      <c r="N27" s="104"/>
      <c r="O27" s="105"/>
      <c r="P27" s="89"/>
      <c r="Q27" s="89"/>
      <c r="R27" s="89"/>
      <c r="S27" s="89"/>
      <c r="T27" s="89"/>
      <c r="U27" s="89"/>
      <c r="V27" s="89"/>
      <c r="W27" s="90"/>
    </row>
    <row r="28" spans="1:23" s="6" customFormat="1" ht="16.5" customHeight="1">
      <c r="A28" s="106"/>
      <c r="B28" s="107"/>
      <c r="C28" s="107"/>
      <c r="D28" s="107"/>
      <c r="E28" s="107"/>
      <c r="F28" s="107"/>
      <c r="G28" s="107"/>
      <c r="H28" s="107" t="str">
        <f>IF(H46=$E$97,$E$100," ")</f>
        <v xml:space="preserve"> </v>
      </c>
      <c r="I28" s="107" t="str">
        <f t="shared" ref="I28:U28" si="0">IF(I46=$E$97,$E$100," ")</f>
        <v xml:space="preserve"> </v>
      </c>
      <c r="J28" s="107" t="str">
        <f t="shared" si="0"/>
        <v xml:space="preserve"> </v>
      </c>
      <c r="K28" s="107" t="str">
        <f t="shared" si="0"/>
        <v>支払終了</v>
      </c>
      <c r="L28" s="107" t="str">
        <f t="shared" si="0"/>
        <v xml:space="preserve"> </v>
      </c>
      <c r="M28" s="107" t="str">
        <f t="shared" si="0"/>
        <v xml:space="preserve"> </v>
      </c>
      <c r="N28" s="108" t="str">
        <f t="shared" si="0"/>
        <v xml:space="preserve"> </v>
      </c>
      <c r="O28" s="109" t="str">
        <f t="shared" si="0"/>
        <v xml:space="preserve"> </v>
      </c>
      <c r="P28" s="107" t="str">
        <f t="shared" si="0"/>
        <v xml:space="preserve"> </v>
      </c>
      <c r="Q28" s="107" t="str">
        <f t="shared" si="0"/>
        <v xml:space="preserve"> </v>
      </c>
      <c r="R28" s="107" t="str">
        <f t="shared" si="0"/>
        <v xml:space="preserve"> </v>
      </c>
      <c r="S28" s="107" t="str">
        <f t="shared" si="0"/>
        <v xml:space="preserve"> </v>
      </c>
      <c r="T28" s="107" t="str">
        <f t="shared" si="0"/>
        <v xml:space="preserve"> </v>
      </c>
      <c r="U28" s="107" t="str">
        <f t="shared" si="0"/>
        <v xml:space="preserve"> </v>
      </c>
      <c r="V28" s="107"/>
      <c r="W28" s="110"/>
    </row>
    <row r="29" spans="1:23" s="4" customFormat="1" ht="19.350000000000001" customHeight="1">
      <c r="A29" s="98"/>
      <c r="B29" s="175" t="s">
        <v>49</v>
      </c>
      <c r="C29" s="117">
        <v>1</v>
      </c>
      <c r="D29" s="118">
        <v>2</v>
      </c>
      <c r="E29" s="118">
        <v>3</v>
      </c>
      <c r="F29" s="118">
        <v>4</v>
      </c>
      <c r="G29" s="118">
        <v>5</v>
      </c>
      <c r="H29" s="118">
        <v>6</v>
      </c>
      <c r="I29" s="118">
        <v>7</v>
      </c>
      <c r="J29" s="118">
        <v>8</v>
      </c>
      <c r="K29" s="118">
        <v>9</v>
      </c>
      <c r="L29" s="118">
        <v>10</v>
      </c>
      <c r="M29" s="118">
        <v>11</v>
      </c>
      <c r="N29" s="118">
        <v>12</v>
      </c>
      <c r="O29" s="118">
        <v>13</v>
      </c>
      <c r="P29" s="118">
        <v>14</v>
      </c>
      <c r="Q29" s="118">
        <v>15</v>
      </c>
      <c r="R29" s="118">
        <v>16</v>
      </c>
      <c r="S29" s="118">
        <v>17</v>
      </c>
      <c r="T29" s="118">
        <v>18</v>
      </c>
      <c r="U29" s="119">
        <v>19</v>
      </c>
      <c r="V29" s="175" t="s">
        <v>50</v>
      </c>
      <c r="W29" s="95"/>
    </row>
    <row r="30" spans="1:23" s="4" customFormat="1" ht="14.45" customHeight="1">
      <c r="A30" s="98"/>
      <c r="B30" s="176"/>
      <c r="C30" s="120">
        <f>DATE(B98,C98,1)</f>
        <v>46082</v>
      </c>
      <c r="D30" s="121">
        <f>EDATE(C30,6)</f>
        <v>46266</v>
      </c>
      <c r="E30" s="121">
        <f>EDATE(D30,6)</f>
        <v>46447</v>
      </c>
      <c r="F30" s="121">
        <f>EDATE(E30,6)</f>
        <v>46631</v>
      </c>
      <c r="G30" s="121">
        <f>EDATE(F30,6)</f>
        <v>46813</v>
      </c>
      <c r="H30" s="121">
        <f t="shared" ref="H30:U30" si="1">EDATE(G30,6)</f>
        <v>46997</v>
      </c>
      <c r="I30" s="121">
        <f t="shared" si="1"/>
        <v>47178</v>
      </c>
      <c r="J30" s="121">
        <f t="shared" si="1"/>
        <v>47362</v>
      </c>
      <c r="K30" s="121">
        <f t="shared" si="1"/>
        <v>47543</v>
      </c>
      <c r="L30" s="121">
        <f t="shared" si="1"/>
        <v>47727</v>
      </c>
      <c r="M30" s="121">
        <f t="shared" si="1"/>
        <v>47908</v>
      </c>
      <c r="N30" s="121">
        <f t="shared" si="1"/>
        <v>48092</v>
      </c>
      <c r="O30" s="121">
        <f t="shared" si="1"/>
        <v>48274</v>
      </c>
      <c r="P30" s="121">
        <f t="shared" si="1"/>
        <v>48458</v>
      </c>
      <c r="Q30" s="121">
        <f t="shared" si="1"/>
        <v>48639</v>
      </c>
      <c r="R30" s="122">
        <f t="shared" si="1"/>
        <v>48823</v>
      </c>
      <c r="S30" s="122">
        <f t="shared" si="1"/>
        <v>49004</v>
      </c>
      <c r="T30" s="122">
        <f t="shared" si="1"/>
        <v>49188</v>
      </c>
      <c r="U30" s="123">
        <f t="shared" si="1"/>
        <v>49369</v>
      </c>
      <c r="V30" s="176"/>
      <c r="W30" s="95"/>
    </row>
    <row r="31" spans="1:23" s="4" customFormat="1" ht="14.45" customHeight="1">
      <c r="A31" s="98"/>
      <c r="B31" s="177"/>
      <c r="C31" s="124" t="s">
        <v>48</v>
      </c>
      <c r="D31" s="125" t="s">
        <v>48</v>
      </c>
      <c r="E31" s="125" t="s">
        <v>48</v>
      </c>
      <c r="F31" s="125" t="s">
        <v>48</v>
      </c>
      <c r="G31" s="125" t="s">
        <v>48</v>
      </c>
      <c r="H31" s="125" t="s">
        <v>48</v>
      </c>
      <c r="I31" s="125" t="s">
        <v>48</v>
      </c>
      <c r="J31" s="125" t="s">
        <v>48</v>
      </c>
      <c r="K31" s="125" t="s">
        <v>48</v>
      </c>
      <c r="L31" s="125" t="s">
        <v>48</v>
      </c>
      <c r="M31" s="125" t="s">
        <v>48</v>
      </c>
      <c r="N31" s="125" t="s">
        <v>48</v>
      </c>
      <c r="O31" s="125" t="s">
        <v>48</v>
      </c>
      <c r="P31" s="125" t="s">
        <v>48</v>
      </c>
      <c r="Q31" s="125" t="s">
        <v>48</v>
      </c>
      <c r="R31" s="125" t="s">
        <v>48</v>
      </c>
      <c r="S31" s="125" t="s">
        <v>48</v>
      </c>
      <c r="T31" s="125" t="s">
        <v>48</v>
      </c>
      <c r="U31" s="126" t="s">
        <v>48</v>
      </c>
      <c r="V31" s="177"/>
      <c r="W31" s="95"/>
    </row>
    <row r="32" spans="1:23" ht="22.35" customHeight="1">
      <c r="A32" s="88"/>
      <c r="B32" s="127" t="s">
        <v>51</v>
      </c>
      <c r="C32" s="128">
        <f>C50</f>
        <v>38896</v>
      </c>
      <c r="D32" s="129">
        <f>D50</f>
        <v>233375</v>
      </c>
      <c r="E32" s="129">
        <f>E50+E53</f>
        <v>233375</v>
      </c>
      <c r="F32" s="129">
        <f>F50+F53</f>
        <v>233375</v>
      </c>
      <c r="G32" s="129">
        <f>G50+G53</f>
        <v>233375</v>
      </c>
      <c r="H32" s="129">
        <f>H50+H53</f>
        <v>233375</v>
      </c>
      <c r="I32" s="129">
        <f t="shared" ref="I32:U33" si="2">I50+I53</f>
        <v>233375</v>
      </c>
      <c r="J32" s="129">
        <f t="shared" si="2"/>
        <v>233375</v>
      </c>
      <c r="K32" s="129">
        <f t="shared" si="2"/>
        <v>194479</v>
      </c>
      <c r="L32" s="129">
        <f t="shared" si="2"/>
        <v>0</v>
      </c>
      <c r="M32" s="129">
        <f t="shared" si="2"/>
        <v>0</v>
      </c>
      <c r="N32" s="129">
        <f t="shared" si="2"/>
        <v>0</v>
      </c>
      <c r="O32" s="129">
        <f t="shared" si="2"/>
        <v>0</v>
      </c>
      <c r="P32" s="129">
        <f t="shared" si="2"/>
        <v>0</v>
      </c>
      <c r="Q32" s="129">
        <f t="shared" si="2"/>
        <v>0</v>
      </c>
      <c r="R32" s="129">
        <f t="shared" si="2"/>
        <v>0</v>
      </c>
      <c r="S32" s="129">
        <f t="shared" si="2"/>
        <v>0</v>
      </c>
      <c r="T32" s="129">
        <f t="shared" si="2"/>
        <v>0</v>
      </c>
      <c r="U32" s="130">
        <f t="shared" si="2"/>
        <v>0</v>
      </c>
      <c r="V32" s="143">
        <f t="shared" ref="V32:V37" si="3">SUM(C32:U32)</f>
        <v>1867000</v>
      </c>
      <c r="W32" s="90"/>
    </row>
    <row r="33" spans="1:34" ht="22.35" customHeight="1">
      <c r="A33" s="88"/>
      <c r="B33" s="131" t="s">
        <v>58</v>
      </c>
      <c r="C33" s="132">
        <f t="shared" ref="C33:I33" si="4">C51+C54</f>
        <v>3894</v>
      </c>
      <c r="D33" s="132">
        <f t="shared" si="4"/>
        <v>23337</v>
      </c>
      <c r="E33" s="132">
        <f t="shared" si="4"/>
        <v>23337</v>
      </c>
      <c r="F33" s="132">
        <f t="shared" si="4"/>
        <v>23337</v>
      </c>
      <c r="G33" s="132">
        <f t="shared" si="4"/>
        <v>23337</v>
      </c>
      <c r="H33" s="132">
        <f t="shared" si="4"/>
        <v>23337</v>
      </c>
      <c r="I33" s="132">
        <f t="shared" si="4"/>
        <v>23337</v>
      </c>
      <c r="J33" s="132">
        <f>J51+J54</f>
        <v>23337</v>
      </c>
      <c r="K33" s="132">
        <f>K51+K54</f>
        <v>19447</v>
      </c>
      <c r="L33" s="132">
        <f t="shared" si="2"/>
        <v>0</v>
      </c>
      <c r="M33" s="132">
        <f t="shared" si="2"/>
        <v>0</v>
      </c>
      <c r="N33" s="132">
        <f t="shared" si="2"/>
        <v>0</v>
      </c>
      <c r="O33" s="132">
        <f t="shared" si="2"/>
        <v>0</v>
      </c>
      <c r="P33" s="132">
        <f t="shared" si="2"/>
        <v>0</v>
      </c>
      <c r="Q33" s="132">
        <f t="shared" si="2"/>
        <v>0</v>
      </c>
      <c r="R33" s="132">
        <f t="shared" si="2"/>
        <v>0</v>
      </c>
      <c r="S33" s="132">
        <f t="shared" si="2"/>
        <v>0</v>
      </c>
      <c r="T33" s="132">
        <f t="shared" si="2"/>
        <v>0</v>
      </c>
      <c r="U33" s="133">
        <f t="shared" si="2"/>
        <v>0</v>
      </c>
      <c r="V33" s="134">
        <f t="shared" si="3"/>
        <v>186700</v>
      </c>
      <c r="W33" s="90"/>
    </row>
    <row r="34" spans="1:34" ht="22.35" customHeight="1">
      <c r="A34" s="88"/>
      <c r="B34" s="127" t="s">
        <v>44</v>
      </c>
      <c r="C34" s="128"/>
      <c r="D34" s="129">
        <f t="shared" ref="D34:N34" si="5">D61</f>
        <v>0</v>
      </c>
      <c r="E34" s="129">
        <f t="shared" si="5"/>
        <v>0</v>
      </c>
      <c r="F34" s="129">
        <f t="shared" si="5"/>
        <v>0</v>
      </c>
      <c r="G34" s="129">
        <f t="shared" si="5"/>
        <v>0</v>
      </c>
      <c r="H34" s="129">
        <f t="shared" si="5"/>
        <v>0</v>
      </c>
      <c r="I34" s="129">
        <f t="shared" si="5"/>
        <v>0</v>
      </c>
      <c r="J34" s="129">
        <f t="shared" si="5"/>
        <v>0</v>
      </c>
      <c r="K34" s="129">
        <f t="shared" si="5"/>
        <v>0</v>
      </c>
      <c r="L34" s="129">
        <f t="shared" si="5"/>
        <v>0</v>
      </c>
      <c r="M34" s="129">
        <f t="shared" si="5"/>
        <v>0</v>
      </c>
      <c r="N34" s="129">
        <f t="shared" si="5"/>
        <v>0</v>
      </c>
      <c r="O34" s="129">
        <f>O61</f>
        <v>0</v>
      </c>
      <c r="P34" s="129">
        <f t="shared" ref="P34:U34" si="6">P61</f>
        <v>0</v>
      </c>
      <c r="Q34" s="129">
        <f t="shared" si="6"/>
        <v>0</v>
      </c>
      <c r="R34" s="129">
        <f t="shared" si="6"/>
        <v>0</v>
      </c>
      <c r="S34" s="129">
        <f t="shared" si="6"/>
        <v>0</v>
      </c>
      <c r="T34" s="129">
        <f t="shared" si="6"/>
        <v>0</v>
      </c>
      <c r="U34" s="130">
        <f t="shared" si="6"/>
        <v>0</v>
      </c>
      <c r="V34" s="143">
        <f t="shared" si="3"/>
        <v>0</v>
      </c>
      <c r="W34" s="90"/>
    </row>
    <row r="35" spans="1:34" ht="22.35" customHeight="1">
      <c r="A35" s="88"/>
      <c r="B35" s="131" t="s">
        <v>59</v>
      </c>
      <c r="C35" s="135"/>
      <c r="D35" s="132">
        <f t="shared" ref="D35:N35" si="7">D34*$E$105</f>
        <v>0</v>
      </c>
      <c r="E35" s="132">
        <f t="shared" si="7"/>
        <v>0</v>
      </c>
      <c r="F35" s="132">
        <f t="shared" si="7"/>
        <v>0</v>
      </c>
      <c r="G35" s="132">
        <f t="shared" si="7"/>
        <v>0</v>
      </c>
      <c r="H35" s="132">
        <f t="shared" si="7"/>
        <v>0</v>
      </c>
      <c r="I35" s="132">
        <f t="shared" si="7"/>
        <v>0</v>
      </c>
      <c r="J35" s="132">
        <f t="shared" si="7"/>
        <v>0</v>
      </c>
      <c r="K35" s="132">
        <f t="shared" si="7"/>
        <v>0</v>
      </c>
      <c r="L35" s="132">
        <f t="shared" si="7"/>
        <v>0</v>
      </c>
      <c r="M35" s="132">
        <f t="shared" si="7"/>
        <v>0</v>
      </c>
      <c r="N35" s="132">
        <f t="shared" si="7"/>
        <v>0</v>
      </c>
      <c r="O35" s="132">
        <f>INT(O34*$E$105)</f>
        <v>0</v>
      </c>
      <c r="P35" s="132">
        <f t="shared" ref="P35:U35" si="8">P34*$E$105</f>
        <v>0</v>
      </c>
      <c r="Q35" s="132">
        <f t="shared" si="8"/>
        <v>0</v>
      </c>
      <c r="R35" s="132">
        <f t="shared" si="8"/>
        <v>0</v>
      </c>
      <c r="S35" s="132">
        <f t="shared" si="8"/>
        <v>0</v>
      </c>
      <c r="T35" s="132">
        <f t="shared" si="8"/>
        <v>0</v>
      </c>
      <c r="U35" s="133">
        <f t="shared" si="8"/>
        <v>0</v>
      </c>
      <c r="V35" s="134">
        <f t="shared" si="3"/>
        <v>0</v>
      </c>
      <c r="W35" s="90"/>
    </row>
    <row r="36" spans="1:34" ht="36" customHeight="1">
      <c r="A36" s="88"/>
      <c r="B36" s="136" t="s">
        <v>67</v>
      </c>
      <c r="C36" s="137">
        <f t="shared" ref="C36:U36" si="9">IF($D$15=6,0,IF($D$15=7,0,(C52+C55)))</f>
        <v>1089</v>
      </c>
      <c r="D36" s="138">
        <f t="shared" si="9"/>
        <v>6398</v>
      </c>
      <c r="E36" s="138">
        <f t="shared" si="9"/>
        <v>5581</v>
      </c>
      <c r="F36" s="138">
        <f t="shared" si="9"/>
        <v>4764</v>
      </c>
      <c r="G36" s="138">
        <f t="shared" si="9"/>
        <v>3947</v>
      </c>
      <c r="H36" s="138">
        <f t="shared" si="9"/>
        <v>3131</v>
      </c>
      <c r="I36" s="138">
        <f t="shared" si="9"/>
        <v>2314</v>
      </c>
      <c r="J36" s="138">
        <f t="shared" si="9"/>
        <v>1497</v>
      </c>
      <c r="K36" s="138">
        <f t="shared" si="9"/>
        <v>567</v>
      </c>
      <c r="L36" s="138">
        <f t="shared" si="9"/>
        <v>0</v>
      </c>
      <c r="M36" s="138">
        <f t="shared" si="9"/>
        <v>0</v>
      </c>
      <c r="N36" s="138">
        <f t="shared" si="9"/>
        <v>0</v>
      </c>
      <c r="O36" s="138">
        <f t="shared" si="9"/>
        <v>0</v>
      </c>
      <c r="P36" s="138">
        <f t="shared" si="9"/>
        <v>0</v>
      </c>
      <c r="Q36" s="138">
        <f t="shared" si="9"/>
        <v>0</v>
      </c>
      <c r="R36" s="138">
        <f t="shared" si="9"/>
        <v>0</v>
      </c>
      <c r="S36" s="138">
        <f t="shared" si="9"/>
        <v>0</v>
      </c>
      <c r="T36" s="138">
        <f t="shared" si="9"/>
        <v>0</v>
      </c>
      <c r="U36" s="139">
        <f t="shared" si="9"/>
        <v>0</v>
      </c>
      <c r="V36" s="144">
        <f t="shared" si="3"/>
        <v>29288</v>
      </c>
      <c r="W36" s="90"/>
    </row>
    <row r="37" spans="1:34" ht="22.35" customHeight="1">
      <c r="A37" s="88"/>
      <c r="B37" s="141" t="s">
        <v>62</v>
      </c>
      <c r="C37" s="145">
        <f>IF(ISBLANK(D15),"α",IF(D15&lt;=7,ROUND(D9*(1+$E$105)*VLOOKUP(D13,L87:M102,2)/100*VLOOKUP(D15,F20:O26,9)/1000,-1),"α"))</f>
        <v>38450</v>
      </c>
      <c r="D37" s="146" t="s">
        <v>97</v>
      </c>
      <c r="E37" s="138"/>
      <c r="F37" s="138"/>
      <c r="G37" s="138"/>
      <c r="H37" s="138"/>
      <c r="I37" s="138"/>
      <c r="J37" s="138"/>
      <c r="K37" s="138"/>
      <c r="L37" s="138"/>
      <c r="M37" s="138"/>
      <c r="N37" s="138"/>
      <c r="O37" s="138"/>
      <c r="P37" s="138"/>
      <c r="Q37" s="138"/>
      <c r="R37" s="138"/>
      <c r="S37" s="138"/>
      <c r="T37" s="138"/>
      <c r="U37" s="139"/>
      <c r="V37" s="140">
        <f t="shared" si="3"/>
        <v>38450</v>
      </c>
      <c r="W37" s="90"/>
    </row>
    <row r="38" spans="1:34" ht="25.35" customHeight="1">
      <c r="A38" s="88"/>
      <c r="B38" s="142" t="s">
        <v>40</v>
      </c>
      <c r="C38" s="137">
        <f t="shared" ref="C38:V38" si="10">SUM(C32:C37)</f>
        <v>82329</v>
      </c>
      <c r="D38" s="138">
        <f t="shared" si="10"/>
        <v>263110</v>
      </c>
      <c r="E38" s="138">
        <f t="shared" si="10"/>
        <v>262293</v>
      </c>
      <c r="F38" s="138">
        <f t="shared" si="10"/>
        <v>261476</v>
      </c>
      <c r="G38" s="138">
        <f t="shared" si="10"/>
        <v>260659</v>
      </c>
      <c r="H38" s="138">
        <f t="shared" si="10"/>
        <v>259843</v>
      </c>
      <c r="I38" s="138">
        <f t="shared" si="10"/>
        <v>259026</v>
      </c>
      <c r="J38" s="138">
        <f t="shared" si="10"/>
        <v>258209</v>
      </c>
      <c r="K38" s="138">
        <f t="shared" si="10"/>
        <v>214493</v>
      </c>
      <c r="L38" s="138">
        <f t="shared" si="10"/>
        <v>0</v>
      </c>
      <c r="M38" s="138">
        <f t="shared" si="10"/>
        <v>0</v>
      </c>
      <c r="N38" s="138">
        <f t="shared" si="10"/>
        <v>0</v>
      </c>
      <c r="O38" s="138">
        <f t="shared" si="10"/>
        <v>0</v>
      </c>
      <c r="P38" s="138">
        <f t="shared" si="10"/>
        <v>0</v>
      </c>
      <c r="Q38" s="138">
        <f t="shared" si="10"/>
        <v>0</v>
      </c>
      <c r="R38" s="138">
        <f t="shared" si="10"/>
        <v>0</v>
      </c>
      <c r="S38" s="138">
        <f t="shared" si="10"/>
        <v>0</v>
      </c>
      <c r="T38" s="138">
        <f t="shared" si="10"/>
        <v>0</v>
      </c>
      <c r="U38" s="139">
        <f t="shared" si="10"/>
        <v>0</v>
      </c>
      <c r="V38" s="140">
        <f t="shared" si="10"/>
        <v>2121438</v>
      </c>
      <c r="W38" s="90"/>
    </row>
    <row r="39" spans="1:34" ht="18.600000000000001" customHeight="1">
      <c r="A39" s="88"/>
      <c r="B39" s="89"/>
      <c r="C39" s="174" t="s">
        <v>94</v>
      </c>
      <c r="D39" s="174"/>
      <c r="E39" s="174"/>
      <c r="F39" s="174"/>
      <c r="G39" s="174"/>
      <c r="H39" s="174"/>
      <c r="I39" s="174"/>
      <c r="J39" s="174"/>
      <c r="K39" s="174"/>
      <c r="L39" s="174"/>
      <c r="M39" s="174"/>
      <c r="N39" s="174"/>
      <c r="O39" s="174"/>
      <c r="P39" s="174"/>
      <c r="Q39" s="174"/>
      <c r="R39" s="174"/>
      <c r="S39" s="174"/>
      <c r="T39" s="174"/>
      <c r="U39" s="174"/>
      <c r="V39" s="174"/>
      <c r="W39" s="90"/>
    </row>
    <row r="40" spans="1:34" s="4" customFormat="1" ht="14.25">
      <c r="A40" s="98"/>
      <c r="B40" s="96" t="s">
        <v>93</v>
      </c>
      <c r="C40" s="94"/>
      <c r="D40" s="94"/>
      <c r="E40" s="111"/>
      <c r="F40" s="94"/>
      <c r="G40" s="94"/>
      <c r="H40" s="94"/>
      <c r="I40" s="112"/>
      <c r="J40" s="94"/>
      <c r="K40" s="94"/>
      <c r="L40" s="94"/>
      <c r="M40" s="94"/>
      <c r="N40" s="94"/>
      <c r="O40" s="94"/>
      <c r="P40" s="94"/>
      <c r="Q40" s="94"/>
      <c r="R40" s="113" t="str">
        <f>IF($D$13&gt;$G$113,"⇒信用保険契約期限は、 "&amp;$G$113&amp;"年間が限度となります。","")</f>
        <v/>
      </c>
      <c r="S40" s="94"/>
      <c r="T40" s="94"/>
      <c r="U40" s="94"/>
      <c r="V40" s="94"/>
      <c r="W40" s="95"/>
    </row>
    <row r="41" spans="1:34" ht="14.25" thickBot="1">
      <c r="A41" s="114"/>
      <c r="B41" s="115"/>
      <c r="C41" s="115"/>
      <c r="D41" s="115"/>
      <c r="E41" s="115"/>
      <c r="F41" s="115"/>
      <c r="G41" s="115"/>
      <c r="H41" s="115"/>
      <c r="I41" s="115"/>
      <c r="J41" s="115"/>
      <c r="K41" s="115"/>
      <c r="L41" s="115"/>
      <c r="M41" s="115"/>
      <c r="N41" s="115"/>
      <c r="O41" s="115"/>
      <c r="P41" s="115"/>
      <c r="Q41" s="115"/>
      <c r="R41" s="115"/>
      <c r="S41" s="115"/>
      <c r="T41" s="115"/>
      <c r="U41" s="115"/>
      <c r="V41" s="115"/>
      <c r="W41" s="116"/>
    </row>
    <row r="42" spans="1:34" ht="14.25" hidden="1" thickBot="1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</row>
    <row r="43" spans="1:34" ht="18" hidden="1" thickBot="1">
      <c r="A43" s="9"/>
      <c r="B43" s="149" t="s">
        <v>64</v>
      </c>
      <c r="C43" s="150">
        <f>K105</f>
        <v>7.0000000000000001E-3</v>
      </c>
      <c r="R43" s="178" t="s">
        <v>73</v>
      </c>
      <c r="S43" s="178"/>
      <c r="T43" s="178"/>
      <c r="U43" s="178"/>
      <c r="V43" s="77">
        <f>V32+V34</f>
        <v>1867000</v>
      </c>
      <c r="W43" s="78" t="str">
        <f>IF(V43=D11,"OK","エラー")</f>
        <v>OK</v>
      </c>
    </row>
    <row r="44" spans="1:34" ht="14.25" hidden="1" thickBot="1">
      <c r="A44" s="10">
        <f>MONTH(D14)</f>
        <v>3</v>
      </c>
      <c r="B44" s="3" t="s">
        <v>0</v>
      </c>
    </row>
    <row r="45" spans="1:34" hidden="1"/>
    <row r="46" spans="1:34" hidden="1">
      <c r="B46" s="3" t="s">
        <v>45</v>
      </c>
      <c r="C46" s="3">
        <v>1</v>
      </c>
      <c r="D46" s="3">
        <v>2</v>
      </c>
      <c r="E46" s="3">
        <v>3</v>
      </c>
      <c r="F46" s="3">
        <v>4</v>
      </c>
      <c r="G46" s="3">
        <v>5</v>
      </c>
      <c r="H46" s="3">
        <v>6</v>
      </c>
      <c r="I46" s="3">
        <v>7</v>
      </c>
      <c r="J46" s="3">
        <v>8</v>
      </c>
      <c r="K46" s="3">
        <v>9</v>
      </c>
      <c r="L46" s="3">
        <v>10</v>
      </c>
      <c r="M46" s="3">
        <v>11</v>
      </c>
      <c r="N46" s="3">
        <v>12</v>
      </c>
      <c r="O46" s="3">
        <v>13</v>
      </c>
      <c r="P46" s="3">
        <v>14</v>
      </c>
      <c r="Q46" s="3">
        <v>15</v>
      </c>
      <c r="R46" s="3">
        <v>16</v>
      </c>
      <c r="S46" s="3">
        <v>17</v>
      </c>
      <c r="T46" s="3">
        <v>18</v>
      </c>
      <c r="U46" s="3">
        <v>19</v>
      </c>
    </row>
    <row r="47" spans="1:34" s="63" customFormat="1" hidden="1">
      <c r="B47" s="63" t="s">
        <v>74</v>
      </c>
      <c r="C47" s="63">
        <f t="shared" ref="C47:U47" si="11">IF((IF($D$13&gt;$G$113,$G$113,$D$13)*2)&lt;C46,1,0)</f>
        <v>0</v>
      </c>
      <c r="D47" s="63">
        <f t="shared" si="11"/>
        <v>0</v>
      </c>
      <c r="E47" s="63">
        <f t="shared" si="11"/>
        <v>0</v>
      </c>
      <c r="F47" s="63">
        <f t="shared" si="11"/>
        <v>0</v>
      </c>
      <c r="G47" s="63">
        <f t="shared" si="11"/>
        <v>0</v>
      </c>
      <c r="H47" s="63">
        <f t="shared" si="11"/>
        <v>0</v>
      </c>
      <c r="I47" s="63">
        <f t="shared" si="11"/>
        <v>0</v>
      </c>
      <c r="J47" s="63">
        <f t="shared" si="11"/>
        <v>0</v>
      </c>
      <c r="K47" s="63">
        <f t="shared" si="11"/>
        <v>1</v>
      </c>
      <c r="L47" s="63">
        <f t="shared" si="11"/>
        <v>1</v>
      </c>
      <c r="M47" s="63">
        <f t="shared" si="11"/>
        <v>1</v>
      </c>
      <c r="N47" s="63">
        <f t="shared" si="11"/>
        <v>1</v>
      </c>
      <c r="O47" s="63">
        <f t="shared" si="11"/>
        <v>1</v>
      </c>
      <c r="P47" s="63">
        <f t="shared" si="11"/>
        <v>1</v>
      </c>
      <c r="Q47" s="63">
        <f t="shared" si="11"/>
        <v>1</v>
      </c>
      <c r="R47" s="63">
        <f t="shared" si="11"/>
        <v>1</v>
      </c>
      <c r="S47" s="63">
        <f t="shared" si="11"/>
        <v>1</v>
      </c>
      <c r="T47" s="63">
        <f t="shared" si="11"/>
        <v>1</v>
      </c>
      <c r="U47" s="63">
        <f t="shared" si="11"/>
        <v>1</v>
      </c>
      <c r="V47" s="63">
        <f t="shared" ref="V47:AG47" si="12">IF((IF($D$10&gt;9,9,$D$10)*2)&lt;V46,1,0)</f>
        <v>0</v>
      </c>
      <c r="W47" s="63">
        <f t="shared" si="12"/>
        <v>0</v>
      </c>
      <c r="X47" s="63">
        <f t="shared" si="12"/>
        <v>0</v>
      </c>
      <c r="Y47" s="63">
        <f t="shared" si="12"/>
        <v>0</v>
      </c>
      <c r="Z47" s="63">
        <f t="shared" si="12"/>
        <v>0</v>
      </c>
      <c r="AA47" s="63">
        <f t="shared" si="12"/>
        <v>0</v>
      </c>
      <c r="AB47" s="63">
        <f t="shared" si="12"/>
        <v>0</v>
      </c>
      <c r="AC47" s="63">
        <f t="shared" si="12"/>
        <v>0</v>
      </c>
      <c r="AD47" s="63">
        <f t="shared" si="12"/>
        <v>0</v>
      </c>
      <c r="AE47" s="63">
        <f t="shared" si="12"/>
        <v>0</v>
      </c>
      <c r="AF47" s="63">
        <f t="shared" si="12"/>
        <v>0</v>
      </c>
      <c r="AG47" s="63">
        <f t="shared" si="12"/>
        <v>0</v>
      </c>
      <c r="AH47" s="63" t="s">
        <v>55</v>
      </c>
    </row>
    <row r="48" spans="1:34" hidden="1">
      <c r="B48" s="3" t="s">
        <v>75</v>
      </c>
      <c r="C48" s="3">
        <f>IF($D$13*2&lt;C46,1,0)</f>
        <v>0</v>
      </c>
      <c r="D48" s="3">
        <f>IF($D$13*2&lt;D46,1,0)</f>
        <v>0</v>
      </c>
      <c r="E48" s="3">
        <f>IF($D$13*2&lt;E46,1,0)</f>
        <v>0</v>
      </c>
      <c r="F48" s="11">
        <f>IF($D$13*2&lt;F46,1,0)</f>
        <v>0</v>
      </c>
      <c r="G48" s="11">
        <f t="shared" ref="G48:U48" si="13">IF($D$13*2&lt;G46,1,0)</f>
        <v>0</v>
      </c>
      <c r="H48" s="11">
        <f t="shared" si="13"/>
        <v>0</v>
      </c>
      <c r="I48" s="11">
        <f t="shared" si="13"/>
        <v>0</v>
      </c>
      <c r="J48" s="11">
        <f t="shared" si="13"/>
        <v>0</v>
      </c>
      <c r="K48" s="11">
        <f t="shared" si="13"/>
        <v>1</v>
      </c>
      <c r="L48" s="11">
        <f t="shared" si="13"/>
        <v>1</v>
      </c>
      <c r="M48" s="11">
        <f t="shared" si="13"/>
        <v>1</v>
      </c>
      <c r="N48" s="11">
        <f t="shared" si="13"/>
        <v>1</v>
      </c>
      <c r="O48" s="11">
        <f t="shared" si="13"/>
        <v>1</v>
      </c>
      <c r="P48" s="11">
        <f t="shared" si="13"/>
        <v>1</v>
      </c>
      <c r="Q48" s="11">
        <f t="shared" si="13"/>
        <v>1</v>
      </c>
      <c r="R48" s="11">
        <f t="shared" si="13"/>
        <v>1</v>
      </c>
      <c r="S48" s="11">
        <f t="shared" si="13"/>
        <v>1</v>
      </c>
      <c r="T48" s="11">
        <f t="shared" si="13"/>
        <v>1</v>
      </c>
      <c r="U48" s="11">
        <f t="shared" si="13"/>
        <v>1</v>
      </c>
      <c r="V48" s="3" t="s">
        <v>55</v>
      </c>
    </row>
    <row r="49" spans="1:29" hidden="1">
      <c r="A49" s="12" t="s">
        <v>44</v>
      </c>
      <c r="B49" s="13" t="s">
        <v>41</v>
      </c>
      <c r="C49" s="13"/>
      <c r="D49" s="13">
        <f>IF(D48=1,0,SUM($C$50:C50))</f>
        <v>38896</v>
      </c>
      <c r="E49" s="13">
        <f>IF(E48=1,0,SUM($C$50:D50))</f>
        <v>272271</v>
      </c>
      <c r="F49" s="13">
        <f>IF(F48=1,0,SUM($C$50:E50))</f>
        <v>505646</v>
      </c>
      <c r="G49" s="13">
        <f>IF(G48=1,0,SUM($C$50:F50))</f>
        <v>739021</v>
      </c>
      <c r="H49" s="13">
        <f>IF(H48=1,0,SUM($C$50:G50))</f>
        <v>972396</v>
      </c>
      <c r="I49" s="13">
        <f>IF(I48=1,0,SUM(C50:H50))</f>
        <v>1205771</v>
      </c>
      <c r="J49" s="13">
        <f>IF(J48=1,0,SUM(C50:I50))</f>
        <v>1439146</v>
      </c>
      <c r="K49" s="13">
        <f>IF(K48=1,0,SUM(C50:J50))</f>
        <v>0</v>
      </c>
      <c r="L49" s="13">
        <f>IF(L48=1,0,SUM(C50:K50))</f>
        <v>0</v>
      </c>
      <c r="M49" s="13">
        <f>IF(M48=1,0,SUM(C50:L50))</f>
        <v>0</v>
      </c>
      <c r="N49" s="13">
        <f>IF(N48=1,0,SUM(C50:M50))</f>
        <v>0</v>
      </c>
      <c r="O49" s="13">
        <f>IF(O48=1,0,SUM(C50:N50))</f>
        <v>0</v>
      </c>
      <c r="P49" s="13">
        <f>IF(P48=1,0,SUM(C50:O50))</f>
        <v>0</v>
      </c>
      <c r="Q49" s="13">
        <f>IF(Q48=1,0,SUM(C50:P50))</f>
        <v>0</v>
      </c>
      <c r="R49" s="13">
        <f>IF(R48=1,0,SUM(C50:Q50))</f>
        <v>0</v>
      </c>
      <c r="S49" s="13">
        <f>IF(S48=1,0,SUM(C50:R50))</f>
        <v>0</v>
      </c>
      <c r="T49" s="13">
        <f>IF(T48=1,0,SUM(C50:S50))</f>
        <v>0</v>
      </c>
      <c r="U49" s="13">
        <f>T49+T50</f>
        <v>0</v>
      </c>
      <c r="V49" s="3" t="s">
        <v>41</v>
      </c>
    </row>
    <row r="50" spans="1:29" hidden="1">
      <c r="A50" s="12">
        <f>INT(D11*F12)</f>
        <v>0</v>
      </c>
      <c r="B50" s="13" t="s">
        <v>46</v>
      </c>
      <c r="C50" s="14">
        <f>(D11)-(SUM(D50:U50)+SUM(D53:U53)+A50)</f>
        <v>38896</v>
      </c>
      <c r="D50" s="14">
        <f>INT((D11-$A$50)/(D13*2))</f>
        <v>233375</v>
      </c>
      <c r="E50" s="14">
        <f>IF(E48=1,0,D50)</f>
        <v>233375</v>
      </c>
      <c r="F50" s="14">
        <f>IF(F48=1,0,E50)</f>
        <v>233375</v>
      </c>
      <c r="G50" s="14">
        <f>IF(G48=1,0,F50)</f>
        <v>233375</v>
      </c>
      <c r="H50" s="14">
        <f>IF(H48=1,0,G50)</f>
        <v>233375</v>
      </c>
      <c r="I50" s="14">
        <f t="shared" ref="I50:T50" si="14">IF(I48=1,0,H50)</f>
        <v>233375</v>
      </c>
      <c r="J50" s="14">
        <f t="shared" si="14"/>
        <v>233375</v>
      </c>
      <c r="K50" s="14">
        <f t="shared" si="14"/>
        <v>0</v>
      </c>
      <c r="L50" s="14">
        <f t="shared" si="14"/>
        <v>0</v>
      </c>
      <c r="M50" s="14">
        <f t="shared" si="14"/>
        <v>0</v>
      </c>
      <c r="N50" s="14">
        <f t="shared" si="14"/>
        <v>0</v>
      </c>
      <c r="O50" s="14">
        <f t="shared" si="14"/>
        <v>0</v>
      </c>
      <c r="P50" s="14">
        <f t="shared" si="14"/>
        <v>0</v>
      </c>
      <c r="Q50" s="14">
        <f t="shared" si="14"/>
        <v>0</v>
      </c>
      <c r="R50" s="14">
        <f t="shared" si="14"/>
        <v>0</v>
      </c>
      <c r="S50" s="14">
        <f t="shared" si="14"/>
        <v>0</v>
      </c>
      <c r="T50" s="14">
        <f t="shared" si="14"/>
        <v>0</v>
      </c>
      <c r="U50" s="14"/>
      <c r="V50" s="3" t="s">
        <v>54</v>
      </c>
    </row>
    <row r="51" spans="1:29" hidden="1">
      <c r="B51" s="13" t="s">
        <v>42</v>
      </c>
      <c r="C51" s="14">
        <f>INT((D11-A50)*E105)-SUM(D51:T51)-SUM(D54:U54)</f>
        <v>3894</v>
      </c>
      <c r="D51" s="14">
        <f>INT(D50*$E$105)</f>
        <v>23337</v>
      </c>
      <c r="E51" s="14">
        <f t="shared" ref="E51:Q51" si="15">INT(E50*$E$105)</f>
        <v>23337</v>
      </c>
      <c r="F51" s="14">
        <f t="shared" si="15"/>
        <v>23337</v>
      </c>
      <c r="G51" s="14">
        <f t="shared" si="15"/>
        <v>23337</v>
      </c>
      <c r="H51" s="14">
        <f t="shared" si="15"/>
        <v>23337</v>
      </c>
      <c r="I51" s="14">
        <f t="shared" si="15"/>
        <v>23337</v>
      </c>
      <c r="J51" s="14">
        <f t="shared" si="15"/>
        <v>23337</v>
      </c>
      <c r="K51" s="14">
        <f t="shared" si="15"/>
        <v>0</v>
      </c>
      <c r="L51" s="14">
        <f t="shared" si="15"/>
        <v>0</v>
      </c>
      <c r="M51" s="14">
        <f t="shared" si="15"/>
        <v>0</v>
      </c>
      <c r="N51" s="14">
        <f t="shared" si="15"/>
        <v>0</v>
      </c>
      <c r="O51" s="14">
        <f t="shared" si="15"/>
        <v>0</v>
      </c>
      <c r="P51" s="14">
        <f t="shared" si="15"/>
        <v>0</v>
      </c>
      <c r="Q51" s="14">
        <f t="shared" si="15"/>
        <v>0</v>
      </c>
      <c r="R51" s="14">
        <f t="shared" ref="R51:U51" si="16">INT((($D$11-INT($D$11*0.1))/($D$13*2)*$E$105))*IF(R48=1,0,1)</f>
        <v>0</v>
      </c>
      <c r="S51" s="14">
        <f t="shared" si="16"/>
        <v>0</v>
      </c>
      <c r="T51" s="14">
        <f t="shared" si="16"/>
        <v>0</v>
      </c>
      <c r="U51" s="14">
        <f t="shared" si="16"/>
        <v>0</v>
      </c>
      <c r="V51" s="3" t="s">
        <v>53</v>
      </c>
    </row>
    <row r="52" spans="1:29" hidden="1">
      <c r="B52" s="13" t="s">
        <v>43</v>
      </c>
      <c r="C52" s="14">
        <f>INT(D11*(C43)/2*D64)</f>
        <v>1089</v>
      </c>
      <c r="D52" s="14">
        <f t="shared" ref="D52:U52" si="17">INT(IF(D48=1,0,($D$11-D49)*($C$43)/2))</f>
        <v>6398</v>
      </c>
      <c r="E52" s="14">
        <f t="shared" si="17"/>
        <v>5581</v>
      </c>
      <c r="F52" s="14">
        <f t="shared" si="17"/>
        <v>4764</v>
      </c>
      <c r="G52" s="14">
        <f t="shared" si="17"/>
        <v>3947</v>
      </c>
      <c r="H52" s="14">
        <f t="shared" si="17"/>
        <v>3131</v>
      </c>
      <c r="I52" s="14">
        <f t="shared" si="17"/>
        <v>2314</v>
      </c>
      <c r="J52" s="14">
        <f t="shared" si="17"/>
        <v>1497</v>
      </c>
      <c r="K52" s="14">
        <f t="shared" si="17"/>
        <v>0</v>
      </c>
      <c r="L52" s="14">
        <f t="shared" si="17"/>
        <v>0</v>
      </c>
      <c r="M52" s="14">
        <f t="shared" si="17"/>
        <v>0</v>
      </c>
      <c r="N52" s="14">
        <f t="shared" si="17"/>
        <v>0</v>
      </c>
      <c r="O52" s="14">
        <f t="shared" si="17"/>
        <v>0</v>
      </c>
      <c r="P52" s="14">
        <f t="shared" si="17"/>
        <v>0</v>
      </c>
      <c r="Q52" s="14">
        <f t="shared" si="17"/>
        <v>0</v>
      </c>
      <c r="R52" s="14">
        <f t="shared" si="17"/>
        <v>0</v>
      </c>
      <c r="S52" s="14">
        <f t="shared" si="17"/>
        <v>0</v>
      </c>
      <c r="T52" s="14">
        <f t="shared" si="17"/>
        <v>0</v>
      </c>
      <c r="U52" s="14">
        <f t="shared" si="17"/>
        <v>0</v>
      </c>
      <c r="V52" s="3" t="s">
        <v>43</v>
      </c>
    </row>
    <row r="53" spans="1:29" hidden="1">
      <c r="A53" s="15"/>
      <c r="B53" s="13" t="s">
        <v>52</v>
      </c>
      <c r="C53" s="16"/>
      <c r="D53" s="17"/>
      <c r="E53" s="17">
        <f t="shared" ref="E53" si="18">INT(E59*$E$64*D50)</f>
        <v>0</v>
      </c>
      <c r="F53" s="17">
        <f>INT(F59*$E$64*E50)</f>
        <v>0</v>
      </c>
      <c r="G53" s="17">
        <f t="shared" ref="G53:U53" si="19">INT(G59*$E$64*F50)</f>
        <v>0</v>
      </c>
      <c r="H53" s="17">
        <f t="shared" si="19"/>
        <v>0</v>
      </c>
      <c r="I53" s="17">
        <f t="shared" si="19"/>
        <v>0</v>
      </c>
      <c r="J53" s="17">
        <f t="shared" si="19"/>
        <v>0</v>
      </c>
      <c r="K53" s="17">
        <f t="shared" si="19"/>
        <v>194479</v>
      </c>
      <c r="L53" s="17">
        <f t="shared" si="19"/>
        <v>0</v>
      </c>
      <c r="M53" s="17">
        <f t="shared" si="19"/>
        <v>0</v>
      </c>
      <c r="N53" s="17">
        <f t="shared" si="19"/>
        <v>0</v>
      </c>
      <c r="O53" s="17">
        <f t="shared" si="19"/>
        <v>0</v>
      </c>
      <c r="P53" s="17">
        <f t="shared" si="19"/>
        <v>0</v>
      </c>
      <c r="Q53" s="17">
        <f t="shared" si="19"/>
        <v>0</v>
      </c>
      <c r="R53" s="17">
        <f t="shared" si="19"/>
        <v>0</v>
      </c>
      <c r="S53" s="17">
        <f t="shared" si="19"/>
        <v>0</v>
      </c>
      <c r="T53" s="17">
        <f t="shared" si="19"/>
        <v>0</v>
      </c>
      <c r="U53" s="17">
        <f t="shared" si="19"/>
        <v>0</v>
      </c>
      <c r="V53" s="3" t="s">
        <v>52</v>
      </c>
    </row>
    <row r="54" spans="1:29" hidden="1">
      <c r="A54" s="18"/>
      <c r="B54" s="13" t="s">
        <v>53</v>
      </c>
      <c r="C54" s="14">
        <f t="shared" ref="C54" si="20">INT(C53*$E$105)</f>
        <v>0</v>
      </c>
      <c r="D54" s="14">
        <f t="shared" ref="D54" si="21">INT(D53*$E$105)</f>
        <v>0</v>
      </c>
      <c r="E54" s="14">
        <f t="shared" ref="E54" si="22">INT(E53*$E$105)</f>
        <v>0</v>
      </c>
      <c r="F54" s="14">
        <f t="shared" ref="F54" si="23">INT(F53*$E$105)</f>
        <v>0</v>
      </c>
      <c r="G54" s="14">
        <f t="shared" ref="G54" si="24">INT(G53*$E$105)</f>
        <v>0</v>
      </c>
      <c r="H54" s="14">
        <f t="shared" ref="H54" si="25">INT(H53*$E$105)</f>
        <v>0</v>
      </c>
      <c r="I54" s="14">
        <f t="shared" ref="I54" si="26">INT(I53*$E$105)</f>
        <v>0</v>
      </c>
      <c r="J54" s="14">
        <f t="shared" ref="J54" si="27">INT(J53*$E$105)</f>
        <v>0</v>
      </c>
      <c r="K54" s="14">
        <f t="shared" ref="K54" si="28">INT(K53*$E$105)</f>
        <v>19447</v>
      </c>
      <c r="L54" s="14">
        <f t="shared" ref="L54" si="29">INT(L53*$E$105)</f>
        <v>0</v>
      </c>
      <c r="M54" s="14">
        <f t="shared" ref="M54" si="30">INT(M53*$E$105)</f>
        <v>0</v>
      </c>
      <c r="N54" s="14">
        <f t="shared" ref="N54" si="31">INT(N53*$E$105)</f>
        <v>0</v>
      </c>
      <c r="O54" s="14">
        <f t="shared" ref="O54" si="32">INT(O53*$E$105)</f>
        <v>0</v>
      </c>
      <c r="P54" s="14">
        <f t="shared" ref="P54:U54" si="33">INT(P59*$D$51*$E$64)</f>
        <v>0</v>
      </c>
      <c r="Q54" s="14">
        <f t="shared" si="33"/>
        <v>0</v>
      </c>
      <c r="R54" s="14">
        <f t="shared" si="33"/>
        <v>0</v>
      </c>
      <c r="S54" s="14">
        <f t="shared" si="33"/>
        <v>0</v>
      </c>
      <c r="T54" s="14">
        <f t="shared" si="33"/>
        <v>0</v>
      </c>
      <c r="U54" s="14">
        <f t="shared" si="33"/>
        <v>0</v>
      </c>
      <c r="V54" s="3" t="s">
        <v>53</v>
      </c>
    </row>
    <row r="55" spans="1:29" hidden="1">
      <c r="A55" s="19"/>
      <c r="B55" s="13" t="s">
        <v>43</v>
      </c>
      <c r="C55" s="14">
        <f>INT((($D$11-SUM(B$50:$C50))*($C$43)/2)*$E$64*C59)</f>
        <v>0</v>
      </c>
      <c r="D55" s="14">
        <f>INT((($D$11-SUM($C$50:C50))*($C$43)/2)*$E$64*D59)</f>
        <v>0</v>
      </c>
      <c r="E55" s="14">
        <f>INT((($D$11-SUM($C$50:D50))*($C$43)/2)*$E$64*E59)</f>
        <v>0</v>
      </c>
      <c r="F55" s="14">
        <f>INT((($D$11-SUM($C$50:E50))*($C$43)/2)*$E$64*F59)</f>
        <v>0</v>
      </c>
      <c r="G55" s="14">
        <f>INT((($D$11-SUM($C$50:F50))*($C$43)/2)*$E$64*G59)</f>
        <v>0</v>
      </c>
      <c r="H55" s="14">
        <f>INT((($D$11-SUM($C$50:G50))*($C$43)/2)*$E$64*H59)</f>
        <v>0</v>
      </c>
      <c r="I55" s="14">
        <f>INT((($D$11-SUM($C$50:H50))*($C$43)/2)*$E$64*I59)</f>
        <v>0</v>
      </c>
      <c r="J55" s="14">
        <f>INT((($D$11-SUM($C$50:I50))*($C$43)/2)*$E$64*J59)</f>
        <v>0</v>
      </c>
      <c r="K55" s="14">
        <f>INT((($D$11-SUM($C$50:J50))*($C$43)/2)*$E$64*K59)</f>
        <v>567</v>
      </c>
      <c r="L55" s="14">
        <f>INT((($D$11-SUM($C$50:K50))*($C$43)/2)*$E$64*L59)</f>
        <v>0</v>
      </c>
      <c r="M55" s="14">
        <f>INT((($D$11-SUM($C$50:L50))*($C$43)/2)*$E$64*M59)</f>
        <v>0</v>
      </c>
      <c r="N55" s="14">
        <f>INT((($D$11-SUM($C$50:M50))*($C$43)/2)*$E$64*N59)</f>
        <v>0</v>
      </c>
      <c r="O55" s="14">
        <f>INT((($D$11-SUM($C$50:N50))*($C$43)/2)*$E$64*O59)</f>
        <v>0</v>
      </c>
      <c r="P55" s="14">
        <f>INT((($D$11-SUM($C$50:O50))*($C$43)/2)*$E$64*P59)</f>
        <v>0</v>
      </c>
      <c r="Q55" s="14">
        <f>INT((($D$11-SUM($C$50:P50))*($C$43)/2)*$E$64*Q59)</f>
        <v>0</v>
      </c>
      <c r="R55" s="14">
        <f>INT((($D$11-SUM($C$50:Q50))*($C$43)/2)*$E$64*R59)</f>
        <v>0</v>
      </c>
      <c r="S55" s="60">
        <f>INT((($D$11-SUM($C$50:R50))*($C$43)/2)*$E$64*S59)</f>
        <v>0</v>
      </c>
      <c r="T55" s="14">
        <f>INT((($D$11-SUM($C$50:S50))*($C$43)/2)*$E$64*T59)</f>
        <v>0</v>
      </c>
      <c r="U55" s="14">
        <f>INT((($D$11-SUM($C$50:T50))*($C$43)/2)*$E$64*U59)</f>
        <v>0</v>
      </c>
      <c r="V55" s="3" t="s">
        <v>43</v>
      </c>
    </row>
    <row r="56" spans="1:29" hidden="1"/>
    <row r="57" spans="1:29" hidden="1"/>
    <row r="58" spans="1:29" hidden="1">
      <c r="B58" s="64" t="s">
        <v>76</v>
      </c>
      <c r="C58" s="65">
        <f>IF(C46=$I$63,IF($H$63=1,1,0),0)</f>
        <v>0</v>
      </c>
      <c r="D58" s="65">
        <f>IF(D46=$I$63,IF($H$63=1,1,0),0)</f>
        <v>0</v>
      </c>
      <c r="E58" s="65">
        <f>IF(E46=$I$63,IF($H$63=1,1,0),0)</f>
        <v>0</v>
      </c>
      <c r="F58" s="65">
        <f t="shared" ref="F58:U58" si="34">IF(F46=$I$63,IF($H$63=1,1,0),0)</f>
        <v>0</v>
      </c>
      <c r="G58" s="65">
        <f t="shared" si="34"/>
        <v>0</v>
      </c>
      <c r="H58" s="65">
        <f t="shared" si="34"/>
        <v>0</v>
      </c>
      <c r="I58" s="65">
        <f t="shared" si="34"/>
        <v>0</v>
      </c>
      <c r="J58" s="65">
        <f t="shared" si="34"/>
        <v>0</v>
      </c>
      <c r="K58" s="65">
        <f t="shared" si="34"/>
        <v>1</v>
      </c>
      <c r="L58" s="65">
        <f t="shared" si="34"/>
        <v>0</v>
      </c>
      <c r="M58" s="65">
        <f t="shared" si="34"/>
        <v>0</v>
      </c>
      <c r="N58" s="65">
        <f t="shared" si="34"/>
        <v>0</v>
      </c>
      <c r="O58" s="65">
        <f t="shared" si="34"/>
        <v>0</v>
      </c>
      <c r="P58" s="65">
        <f t="shared" si="34"/>
        <v>0</v>
      </c>
      <c r="Q58" s="65">
        <f t="shared" si="34"/>
        <v>0</v>
      </c>
      <c r="R58" s="65">
        <f t="shared" si="34"/>
        <v>0</v>
      </c>
      <c r="S58" s="65">
        <f t="shared" si="34"/>
        <v>0</v>
      </c>
      <c r="T58" s="65">
        <f t="shared" si="34"/>
        <v>0</v>
      </c>
      <c r="U58" s="65">
        <f t="shared" si="34"/>
        <v>0</v>
      </c>
      <c r="V58" s="8"/>
    </row>
    <row r="59" spans="1:29" hidden="1">
      <c r="B59" s="21" t="s">
        <v>77</v>
      </c>
      <c r="C59" s="66">
        <f>IF(C46=$I$64,1,0)</f>
        <v>0</v>
      </c>
      <c r="D59" s="72">
        <f t="shared" ref="D59:U59" si="35">IF(D46=$I$63,IF($H$63=1,1,0),0)</f>
        <v>0</v>
      </c>
      <c r="E59" s="66">
        <f>IF(E46=$I$64,IF($H$64=1,1,0),0)</f>
        <v>0</v>
      </c>
      <c r="F59" s="66">
        <f t="shared" si="35"/>
        <v>0</v>
      </c>
      <c r="G59" s="66">
        <f t="shared" si="35"/>
        <v>0</v>
      </c>
      <c r="H59" s="66">
        <f t="shared" si="35"/>
        <v>0</v>
      </c>
      <c r="I59" s="66">
        <f t="shared" si="35"/>
        <v>0</v>
      </c>
      <c r="J59" s="66">
        <f t="shared" si="35"/>
        <v>0</v>
      </c>
      <c r="K59" s="66">
        <f t="shared" si="35"/>
        <v>1</v>
      </c>
      <c r="L59" s="66">
        <f t="shared" si="35"/>
        <v>0</v>
      </c>
      <c r="M59" s="66">
        <f t="shared" si="35"/>
        <v>0</v>
      </c>
      <c r="N59" s="66">
        <f t="shared" si="35"/>
        <v>0</v>
      </c>
      <c r="O59" s="66">
        <f t="shared" si="35"/>
        <v>0</v>
      </c>
      <c r="P59" s="66">
        <f t="shared" si="35"/>
        <v>0</v>
      </c>
      <c r="Q59" s="66">
        <f t="shared" si="35"/>
        <v>0</v>
      </c>
      <c r="R59" s="66">
        <f t="shared" si="35"/>
        <v>0</v>
      </c>
      <c r="S59" s="66">
        <f t="shared" si="35"/>
        <v>0</v>
      </c>
      <c r="T59" s="66">
        <f t="shared" si="35"/>
        <v>0</v>
      </c>
      <c r="U59" s="66">
        <f t="shared" si="35"/>
        <v>0</v>
      </c>
      <c r="V59" s="8"/>
    </row>
    <row r="60" spans="1:29" hidden="1">
      <c r="A60" s="8"/>
      <c r="B60" s="20"/>
      <c r="C60" s="154"/>
      <c r="D60" s="154"/>
      <c r="E60" s="154"/>
      <c r="F60" s="154"/>
      <c r="G60" s="154"/>
      <c r="H60" s="154"/>
      <c r="I60" s="154"/>
      <c r="J60" s="154"/>
      <c r="K60" s="154"/>
      <c r="L60" s="154"/>
      <c r="M60" s="154"/>
      <c r="N60" s="154"/>
      <c r="O60" s="154"/>
      <c r="P60" s="8"/>
      <c r="Q60" s="8"/>
      <c r="R60" s="73"/>
    </row>
    <row r="61" spans="1:29" hidden="1">
      <c r="A61" s="8"/>
      <c r="B61" s="153" t="s">
        <v>44</v>
      </c>
      <c r="C61" s="21"/>
      <c r="D61" s="21">
        <f t="shared" ref="D61:P61" si="36">IF($H$64=1,INT($D$11*$F$12)*D59,IF(D48=1,0,IF(E48=1,$D$11*$F$12,0)))</f>
        <v>0</v>
      </c>
      <c r="E61" s="21">
        <f t="shared" si="36"/>
        <v>0</v>
      </c>
      <c r="F61" s="21">
        <f t="shared" si="36"/>
        <v>0</v>
      </c>
      <c r="G61" s="21">
        <f t="shared" si="36"/>
        <v>0</v>
      </c>
      <c r="H61" s="21">
        <f t="shared" si="36"/>
        <v>0</v>
      </c>
      <c r="I61" s="21">
        <f t="shared" si="36"/>
        <v>0</v>
      </c>
      <c r="J61" s="21">
        <f t="shared" si="36"/>
        <v>0</v>
      </c>
      <c r="K61" s="21">
        <f t="shared" si="36"/>
        <v>0</v>
      </c>
      <c r="L61" s="21">
        <f t="shared" si="36"/>
        <v>0</v>
      </c>
      <c r="M61" s="21">
        <f t="shared" si="36"/>
        <v>0</v>
      </c>
      <c r="N61" s="21">
        <f t="shared" si="36"/>
        <v>0</v>
      </c>
      <c r="O61" s="21">
        <f t="shared" si="36"/>
        <v>0</v>
      </c>
      <c r="P61" s="21">
        <f t="shared" si="36"/>
        <v>0</v>
      </c>
      <c r="Q61" s="21">
        <f>IF($H$64=1,INT($D$11*$F$12)*Q59,IF(Q48=1,0,IF(R48=1,$D$11*$F$12,0)))</f>
        <v>0</v>
      </c>
      <c r="R61" s="21">
        <f t="shared" ref="R61:U61" si="37">IF($H$64=1,INT($D$11*$F$12)*R59,IF(R48=1,0,IF(S48=1,$D$11*$F$12,0)))</f>
        <v>0</v>
      </c>
      <c r="S61" s="21">
        <f t="shared" si="37"/>
        <v>0</v>
      </c>
      <c r="T61" s="21">
        <f t="shared" si="37"/>
        <v>0</v>
      </c>
      <c r="U61" s="21">
        <f t="shared" si="37"/>
        <v>0</v>
      </c>
    </row>
    <row r="62" spans="1:29" hidden="1">
      <c r="A62" s="8"/>
      <c r="B62" s="20"/>
      <c r="C62" s="154"/>
      <c r="D62" s="154"/>
      <c r="E62" s="154"/>
      <c r="F62" s="154"/>
      <c r="G62" s="154"/>
      <c r="H62" s="154"/>
      <c r="I62" s="154"/>
      <c r="J62" s="154"/>
      <c r="K62" s="154"/>
      <c r="L62" s="154"/>
      <c r="M62" s="154"/>
      <c r="N62" s="154"/>
      <c r="O62" s="154"/>
      <c r="P62" s="8"/>
      <c r="Q62" s="8"/>
    </row>
    <row r="63" spans="1:29" hidden="1">
      <c r="A63" s="8"/>
      <c r="B63" s="20"/>
      <c r="C63" s="154"/>
      <c r="D63" s="154"/>
      <c r="E63" s="171" t="s">
        <v>78</v>
      </c>
      <c r="F63" s="171"/>
      <c r="G63" s="171"/>
      <c r="H63" s="154">
        <f>VLOOKUP(A44,B85:E96,4)</f>
        <v>1</v>
      </c>
      <c r="I63" s="154">
        <f>IF(D13&gt;$G$113,$G$113,D13)*2+H63</f>
        <v>9</v>
      </c>
      <c r="J63" s="154"/>
      <c r="K63" s="154"/>
      <c r="L63" s="154"/>
      <c r="M63" s="154"/>
      <c r="N63" s="154"/>
      <c r="O63" s="154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</row>
    <row r="64" spans="1:29" hidden="1">
      <c r="A64" s="8"/>
      <c r="B64" s="20"/>
      <c r="C64" s="154"/>
      <c r="D64" s="53">
        <f>VLOOKUP(A44,B73:D84,2)</f>
        <v>0.16666666666666666</v>
      </c>
      <c r="E64" s="53">
        <f>VLOOKUP(A44,B73:D84,3)</f>
        <v>0.83333333333333337</v>
      </c>
      <c r="F64" s="8"/>
      <c r="G64" s="8"/>
      <c r="H64" s="22">
        <f>VLOOKUP(A44,B85:E96,4)</f>
        <v>1</v>
      </c>
      <c r="I64" s="67">
        <f>D13*2+H64</f>
        <v>9</v>
      </c>
      <c r="J64" s="154"/>
      <c r="K64" s="154"/>
      <c r="L64" s="154"/>
      <c r="M64" s="154"/>
      <c r="N64" s="154"/>
      <c r="O64" s="154"/>
      <c r="P64" s="8"/>
      <c r="Q64" s="8"/>
    </row>
    <row r="65" spans="1:22" hidden="1">
      <c r="A65" s="8"/>
      <c r="B65" s="20"/>
      <c r="C65" s="154"/>
      <c r="D65" s="154"/>
      <c r="E65" s="154"/>
      <c r="F65" s="154"/>
      <c r="G65" s="154"/>
      <c r="H65" s="154"/>
      <c r="I65" s="154"/>
      <c r="J65" s="154"/>
      <c r="K65" s="154"/>
      <c r="L65" s="154"/>
      <c r="M65" s="154"/>
      <c r="N65" s="154"/>
      <c r="O65" s="154"/>
      <c r="P65" s="8"/>
      <c r="Q65" s="8"/>
    </row>
    <row r="66" spans="1:22" hidden="1">
      <c r="A66" s="8"/>
      <c r="B66" s="24">
        <v>3</v>
      </c>
      <c r="C66" s="25">
        <v>1.87</v>
      </c>
      <c r="J66" s="23"/>
      <c r="K66" s="23"/>
      <c r="L66" s="23"/>
      <c r="M66" s="23"/>
    </row>
    <row r="67" spans="1:22" hidden="1">
      <c r="A67" s="8"/>
      <c r="B67" s="26">
        <v>4</v>
      </c>
      <c r="C67" s="27">
        <v>2.41</v>
      </c>
      <c r="D67" s="8"/>
      <c r="E67" s="8"/>
      <c r="F67" s="8"/>
      <c r="G67" s="8"/>
      <c r="H67" s="8"/>
      <c r="I67" s="8"/>
      <c r="J67" s="8"/>
      <c r="K67" s="8"/>
      <c r="L67" s="8"/>
      <c r="M67" s="8"/>
    </row>
    <row r="68" spans="1:22" hidden="1">
      <c r="A68" s="8"/>
      <c r="B68" s="26">
        <v>5</v>
      </c>
      <c r="C68" s="27">
        <v>2.97</v>
      </c>
      <c r="D68" s="8"/>
      <c r="E68" s="8"/>
      <c r="F68" s="8"/>
      <c r="G68" s="8"/>
      <c r="H68" s="8"/>
      <c r="I68" s="8"/>
      <c r="J68" s="8"/>
      <c r="K68" s="8"/>
      <c r="L68" s="8"/>
      <c r="M68" s="8"/>
    </row>
    <row r="69" spans="1:22" hidden="1">
      <c r="A69" s="8"/>
      <c r="B69" s="26">
        <v>6</v>
      </c>
      <c r="C69" s="27">
        <v>3.5</v>
      </c>
      <c r="D69" s="8"/>
      <c r="E69" s="8"/>
      <c r="F69" s="8"/>
      <c r="G69" s="8"/>
      <c r="H69" s="8"/>
      <c r="I69" s="8"/>
      <c r="J69" s="8"/>
      <c r="K69" s="8"/>
      <c r="L69" s="8"/>
      <c r="M69" s="8"/>
    </row>
    <row r="70" spans="1:22" hidden="1">
      <c r="B70" s="26">
        <v>7</v>
      </c>
      <c r="C70" s="27">
        <v>4.04</v>
      </c>
    </row>
    <row r="71" spans="1:22" ht="14.25" hidden="1" thickBot="1">
      <c r="B71" s="26">
        <v>8</v>
      </c>
      <c r="C71" s="27">
        <v>4.59</v>
      </c>
    </row>
    <row r="72" spans="1:22" ht="14.25" hidden="1" thickBot="1">
      <c r="B72" s="26">
        <v>9</v>
      </c>
      <c r="C72" s="27">
        <v>5.17</v>
      </c>
      <c r="G72" s="28" t="s">
        <v>1</v>
      </c>
      <c r="H72" s="28" t="s">
        <v>2</v>
      </c>
      <c r="I72" s="28" t="s">
        <v>3</v>
      </c>
      <c r="J72" s="28" t="s">
        <v>4</v>
      </c>
      <c r="K72" s="28" t="s">
        <v>5</v>
      </c>
      <c r="L72" s="28" t="s">
        <v>6</v>
      </c>
      <c r="M72" s="28" t="s">
        <v>7</v>
      </c>
      <c r="N72" s="28" t="s">
        <v>8</v>
      </c>
      <c r="O72" s="28" t="s">
        <v>9</v>
      </c>
      <c r="P72" s="28" t="s">
        <v>10</v>
      </c>
      <c r="Q72" s="28" t="s">
        <v>11</v>
      </c>
      <c r="R72" s="28" t="s">
        <v>12</v>
      </c>
      <c r="S72" s="28" t="s">
        <v>13</v>
      </c>
      <c r="T72" s="28" t="s">
        <v>14</v>
      </c>
      <c r="U72" s="28" t="s">
        <v>15</v>
      </c>
      <c r="V72" s="28" t="s">
        <v>16</v>
      </c>
    </row>
    <row r="73" spans="1:22" ht="14.25" hidden="1" thickBot="1">
      <c r="B73" s="29">
        <v>1</v>
      </c>
      <c r="C73" s="54">
        <f>C79</f>
        <v>0.5</v>
      </c>
      <c r="D73" s="55">
        <f>3/6</f>
        <v>0.5</v>
      </c>
      <c r="F73" s="30" t="s">
        <v>17</v>
      </c>
      <c r="G73" s="31" t="e">
        <f>#REF!</f>
        <v>#REF!</v>
      </c>
      <c r="H73" s="31" t="e">
        <f>#REF!</f>
        <v>#REF!</v>
      </c>
      <c r="I73" s="31" t="e">
        <f>#REF!</f>
        <v>#REF!</v>
      </c>
      <c r="J73" s="31" t="e">
        <f>#REF!</f>
        <v>#REF!</v>
      </c>
      <c r="K73" s="31" t="e">
        <f>#REF!</f>
        <v>#REF!</v>
      </c>
      <c r="L73" s="31" t="e">
        <f>#REF!</f>
        <v>#REF!</v>
      </c>
      <c r="M73" s="31" t="e">
        <f>#REF!</f>
        <v>#REF!</v>
      </c>
      <c r="N73" s="31" t="e">
        <f>#REF!</f>
        <v>#REF!</v>
      </c>
      <c r="O73" s="31" t="e">
        <f>#REF!</f>
        <v>#REF!</v>
      </c>
      <c r="P73" s="31" t="e">
        <f>#REF!</f>
        <v>#REF!</v>
      </c>
      <c r="Q73" s="31" t="e">
        <f>#REF!</f>
        <v>#REF!</v>
      </c>
      <c r="R73" s="31" t="e">
        <f>#REF!</f>
        <v>#REF!</v>
      </c>
      <c r="S73" s="31" t="e">
        <f>#REF!</f>
        <v>#REF!</v>
      </c>
      <c r="T73" s="31" t="e">
        <f>#REF!</f>
        <v>#REF!</v>
      </c>
      <c r="U73" s="31" t="e">
        <f>#REF!</f>
        <v>#REF!</v>
      </c>
      <c r="V73" s="31"/>
    </row>
    <row r="74" spans="1:22" ht="14.25" hidden="1" thickBot="1">
      <c r="B74" s="32">
        <v>2</v>
      </c>
      <c r="C74" s="56">
        <f>C80</f>
        <v>0.33333333333333331</v>
      </c>
      <c r="D74" s="57">
        <f>4/6</f>
        <v>0.66666666666666663</v>
      </c>
      <c r="F74" s="33" t="s">
        <v>61</v>
      </c>
      <c r="G74" s="31" t="e">
        <f>#REF!</f>
        <v>#REF!</v>
      </c>
      <c r="H74" s="31" t="e">
        <f>#REF!</f>
        <v>#REF!</v>
      </c>
      <c r="I74" s="31" t="e">
        <f>#REF!</f>
        <v>#REF!</v>
      </c>
      <c r="J74" s="31" t="e">
        <f>#REF!</f>
        <v>#REF!</v>
      </c>
      <c r="K74" s="31" t="e">
        <f>#REF!</f>
        <v>#REF!</v>
      </c>
      <c r="L74" s="31" t="e">
        <f>#REF!</f>
        <v>#REF!</v>
      </c>
      <c r="M74" s="31" t="e">
        <f>#REF!</f>
        <v>#REF!</v>
      </c>
      <c r="N74" s="31" t="e">
        <f>#REF!</f>
        <v>#REF!</v>
      </c>
      <c r="O74" s="31" t="e">
        <f>#REF!</f>
        <v>#REF!</v>
      </c>
      <c r="P74" s="31" t="e">
        <f>#REF!</f>
        <v>#REF!</v>
      </c>
      <c r="Q74" s="31" t="e">
        <f>#REF!</f>
        <v>#REF!</v>
      </c>
      <c r="R74" s="31" t="e">
        <f>#REF!</f>
        <v>#REF!</v>
      </c>
      <c r="S74" s="31" t="e">
        <f>#REF!</f>
        <v>#REF!</v>
      </c>
      <c r="T74" s="31" t="e">
        <f>#REF!</f>
        <v>#REF!</v>
      </c>
      <c r="U74" s="31" t="e">
        <f>#REF!</f>
        <v>#REF!</v>
      </c>
      <c r="V74" s="31" t="e">
        <f>#REF!</f>
        <v>#REF!</v>
      </c>
    </row>
    <row r="75" spans="1:22" hidden="1">
      <c r="B75" s="32">
        <v>3</v>
      </c>
      <c r="C75" s="56">
        <f>C81</f>
        <v>0.16666666666666666</v>
      </c>
      <c r="D75" s="57">
        <f>5/6</f>
        <v>0.83333333333333337</v>
      </c>
    </row>
    <row r="76" spans="1:22" hidden="1">
      <c r="B76" s="32">
        <v>4</v>
      </c>
      <c r="C76" s="56">
        <v>1</v>
      </c>
      <c r="D76" s="57">
        <f>1</f>
        <v>1</v>
      </c>
    </row>
    <row r="77" spans="1:22" hidden="1">
      <c r="B77" s="32">
        <v>5</v>
      </c>
      <c r="C77" s="56">
        <f>5/6</f>
        <v>0.83333333333333337</v>
      </c>
      <c r="D77" s="57">
        <f>1/6</f>
        <v>0.16666666666666666</v>
      </c>
    </row>
    <row r="78" spans="1:22" hidden="1">
      <c r="B78" s="32">
        <v>6</v>
      </c>
      <c r="C78" s="56">
        <f>4/6</f>
        <v>0.66666666666666663</v>
      </c>
      <c r="D78" s="57">
        <f>2/6</f>
        <v>0.33333333333333331</v>
      </c>
    </row>
    <row r="79" spans="1:22" hidden="1">
      <c r="B79" s="32">
        <v>7</v>
      </c>
      <c r="C79" s="56">
        <f>3/6</f>
        <v>0.5</v>
      </c>
      <c r="D79" s="57">
        <f>3/6</f>
        <v>0.5</v>
      </c>
    </row>
    <row r="80" spans="1:22" hidden="1">
      <c r="B80" s="32">
        <v>8</v>
      </c>
      <c r="C80" s="56">
        <f>2/6</f>
        <v>0.33333333333333331</v>
      </c>
      <c r="D80" s="57">
        <f>4/6</f>
        <v>0.66666666666666663</v>
      </c>
    </row>
    <row r="81" spans="2:13" hidden="1">
      <c r="B81" s="32">
        <v>9</v>
      </c>
      <c r="C81" s="56">
        <f>1/6</f>
        <v>0.16666666666666666</v>
      </c>
      <c r="D81" s="57">
        <f>5/6</f>
        <v>0.83333333333333337</v>
      </c>
    </row>
    <row r="82" spans="2:13" hidden="1">
      <c r="B82" s="32">
        <v>10</v>
      </c>
      <c r="C82" s="56">
        <v>1</v>
      </c>
      <c r="D82" s="57">
        <f>1</f>
        <v>1</v>
      </c>
    </row>
    <row r="83" spans="2:13" hidden="1">
      <c r="B83" s="32">
        <v>11</v>
      </c>
      <c r="C83" s="56">
        <f>C77</f>
        <v>0.83333333333333337</v>
      </c>
      <c r="D83" s="57">
        <f>1/6</f>
        <v>0.16666666666666666</v>
      </c>
    </row>
    <row r="84" spans="2:13" hidden="1">
      <c r="B84" s="34">
        <v>12</v>
      </c>
      <c r="C84" s="58">
        <f>C78</f>
        <v>0.66666666666666663</v>
      </c>
      <c r="D84" s="59">
        <f>2/6</f>
        <v>0.33333333333333331</v>
      </c>
    </row>
    <row r="85" spans="2:13" hidden="1">
      <c r="B85" s="35">
        <v>1</v>
      </c>
      <c r="C85" s="36">
        <v>3</v>
      </c>
      <c r="D85" s="37"/>
      <c r="E85" s="38">
        <v>1</v>
      </c>
    </row>
    <row r="86" spans="2:13" hidden="1">
      <c r="B86" s="39">
        <v>2</v>
      </c>
      <c r="C86" s="40">
        <v>3</v>
      </c>
      <c r="D86" s="41"/>
      <c r="E86" s="42">
        <v>1</v>
      </c>
      <c r="L86" s="3" t="s">
        <v>37</v>
      </c>
    </row>
    <row r="87" spans="2:13" hidden="1">
      <c r="B87" s="39">
        <v>3</v>
      </c>
      <c r="C87" s="40">
        <v>3</v>
      </c>
      <c r="D87" s="41"/>
      <c r="E87" s="42">
        <v>1</v>
      </c>
      <c r="L87" s="49" t="s">
        <v>38</v>
      </c>
      <c r="M87" s="13" t="s">
        <v>39</v>
      </c>
    </row>
    <row r="88" spans="2:13" hidden="1">
      <c r="B88" s="39">
        <v>4</v>
      </c>
      <c r="C88" s="40">
        <v>9</v>
      </c>
      <c r="D88" s="41"/>
      <c r="E88" s="42"/>
      <c r="L88" s="74">
        <v>1</v>
      </c>
      <c r="M88" s="75">
        <v>87</v>
      </c>
    </row>
    <row r="89" spans="2:13" hidden="1">
      <c r="B89" s="39">
        <v>5</v>
      </c>
      <c r="C89" s="40">
        <v>9</v>
      </c>
      <c r="D89" s="41"/>
      <c r="E89" s="42">
        <v>1</v>
      </c>
      <c r="L89" s="75">
        <v>2</v>
      </c>
      <c r="M89" s="75">
        <v>133</v>
      </c>
    </row>
    <row r="90" spans="2:13" hidden="1">
      <c r="B90" s="39">
        <v>6</v>
      </c>
      <c r="C90" s="40">
        <v>9</v>
      </c>
      <c r="D90" s="41"/>
      <c r="E90" s="42">
        <v>1</v>
      </c>
      <c r="L90" s="75">
        <v>3</v>
      </c>
      <c r="M90" s="75">
        <v>187</v>
      </c>
    </row>
    <row r="91" spans="2:13" hidden="1">
      <c r="B91" s="39">
        <v>7</v>
      </c>
      <c r="C91" s="40">
        <v>9</v>
      </c>
      <c r="D91" s="41"/>
      <c r="E91" s="42">
        <v>1</v>
      </c>
      <c r="L91" s="75">
        <v>4</v>
      </c>
      <c r="M91" s="75">
        <v>241</v>
      </c>
    </row>
    <row r="92" spans="2:13" hidden="1">
      <c r="B92" s="39">
        <v>8</v>
      </c>
      <c r="C92" s="40">
        <v>9</v>
      </c>
      <c r="D92" s="41"/>
      <c r="E92" s="42">
        <v>1</v>
      </c>
      <c r="L92" s="75">
        <v>5</v>
      </c>
      <c r="M92" s="75">
        <v>297</v>
      </c>
    </row>
    <row r="93" spans="2:13" hidden="1">
      <c r="B93" s="39">
        <v>9</v>
      </c>
      <c r="C93" s="40">
        <v>9</v>
      </c>
      <c r="D93" s="41"/>
      <c r="E93" s="42">
        <v>1</v>
      </c>
      <c r="L93" s="75">
        <v>6</v>
      </c>
      <c r="M93" s="75">
        <v>350</v>
      </c>
    </row>
    <row r="94" spans="2:13" hidden="1">
      <c r="B94" s="39">
        <v>10</v>
      </c>
      <c r="C94" s="40">
        <v>3</v>
      </c>
      <c r="D94" s="41">
        <v>1</v>
      </c>
      <c r="E94" s="42"/>
      <c r="L94" s="75">
        <v>7</v>
      </c>
      <c r="M94" s="75">
        <v>404</v>
      </c>
    </row>
    <row r="95" spans="2:13" hidden="1">
      <c r="B95" s="39">
        <v>11</v>
      </c>
      <c r="C95" s="40">
        <v>3</v>
      </c>
      <c r="D95" s="41">
        <v>1</v>
      </c>
      <c r="E95" s="42">
        <v>1</v>
      </c>
      <c r="L95" s="75">
        <v>8</v>
      </c>
      <c r="M95" s="75">
        <v>459</v>
      </c>
    </row>
    <row r="96" spans="2:13" hidden="1">
      <c r="B96" s="43">
        <v>12</v>
      </c>
      <c r="C96" s="44">
        <v>3</v>
      </c>
      <c r="D96" s="45">
        <v>1</v>
      </c>
      <c r="E96" s="46">
        <v>1</v>
      </c>
      <c r="L96" s="75">
        <v>9</v>
      </c>
      <c r="M96" s="75">
        <v>517</v>
      </c>
    </row>
    <row r="97" spans="2:13" hidden="1">
      <c r="B97" s="3">
        <f>YEAR(D14)</f>
        <v>2026</v>
      </c>
      <c r="C97" s="47">
        <f>MONTH(D14)</f>
        <v>3</v>
      </c>
      <c r="E97" s="3">
        <f>D13*2+VLOOKUP(MONTH(D14),B85:E96,4)</f>
        <v>9</v>
      </c>
      <c r="L97" s="75">
        <v>10</v>
      </c>
      <c r="M97" s="75">
        <v>575</v>
      </c>
    </row>
    <row r="98" spans="2:13" hidden="1">
      <c r="B98" s="3">
        <f>B97+VLOOKUP(C97,B85:D96,3)</f>
        <v>2026</v>
      </c>
      <c r="C98" s="3">
        <f>VLOOKUP(C97,B85:C96,2)</f>
        <v>3</v>
      </c>
      <c r="L98" s="75">
        <v>11</v>
      </c>
      <c r="M98" s="75">
        <v>624</v>
      </c>
    </row>
    <row r="99" spans="2:13" hidden="1">
      <c r="L99" s="75">
        <v>12</v>
      </c>
      <c r="M99" s="75">
        <v>675</v>
      </c>
    </row>
    <row r="100" spans="2:13" hidden="1">
      <c r="E100" s="48" t="s">
        <v>63</v>
      </c>
      <c r="L100" s="75">
        <v>13</v>
      </c>
      <c r="M100" s="75">
        <v>773</v>
      </c>
    </row>
    <row r="101" spans="2:13" hidden="1">
      <c r="L101" s="75">
        <v>14</v>
      </c>
      <c r="M101" s="75">
        <v>807</v>
      </c>
    </row>
    <row r="102" spans="2:13" hidden="1">
      <c r="L102" s="75">
        <v>15</v>
      </c>
      <c r="M102" s="75">
        <v>848</v>
      </c>
    </row>
    <row r="103" spans="2:13" hidden="1"/>
    <row r="104" spans="2:13" ht="14.25" hidden="1" thickBot="1">
      <c r="B104" s="152" t="s">
        <v>68</v>
      </c>
      <c r="C104" s="50">
        <v>0.05</v>
      </c>
      <c r="E104" s="61" t="s">
        <v>69</v>
      </c>
      <c r="G104" s="204" t="s">
        <v>99</v>
      </c>
      <c r="H104" s="204"/>
      <c r="I104" s="147">
        <v>0.01</v>
      </c>
      <c r="K104" s="61" t="s">
        <v>100</v>
      </c>
    </row>
    <row r="105" spans="2:13" ht="15" hidden="1" thickBot="1">
      <c r="B105" s="153" t="s">
        <v>87</v>
      </c>
      <c r="C105" s="50">
        <v>0.08</v>
      </c>
      <c r="D105" s="5" t="s">
        <v>70</v>
      </c>
      <c r="E105" s="52">
        <f>IF(D14&lt;DATEVALUE("2014/4/1"),C104,IF(AND(D14&gt;=DATEVALUE("2014/4/1"),D14&lt;DATEVALUE("2019/9/30")),C105,C106))</f>
        <v>0.1</v>
      </c>
      <c r="G105" s="205" t="s">
        <v>101</v>
      </c>
      <c r="H105" s="205"/>
      <c r="I105" s="147">
        <v>7.0000000000000001E-3</v>
      </c>
      <c r="J105" s="5" t="s">
        <v>70</v>
      </c>
      <c r="K105" s="148">
        <f>IF(D14&lt;DATEVALUE("2022/4/1"),I104,I105)</f>
        <v>7.0000000000000001E-3</v>
      </c>
    </row>
    <row r="106" spans="2:13" hidden="1">
      <c r="B106" s="153" t="s">
        <v>102</v>
      </c>
      <c r="C106" s="50">
        <v>0.1</v>
      </c>
      <c r="E106" s="51"/>
      <c r="G106" s="205"/>
      <c r="H106" s="205"/>
      <c r="I106" s="147"/>
      <c r="K106" s="51"/>
    </row>
    <row r="107" spans="2:13" hidden="1">
      <c r="B107" s="13"/>
      <c r="C107" s="13"/>
      <c r="G107" s="205"/>
      <c r="H107" s="205"/>
      <c r="I107" s="147"/>
    </row>
    <row r="108" spans="2:13" hidden="1">
      <c r="B108" s="13"/>
      <c r="C108" s="13"/>
      <c r="G108" s="205"/>
      <c r="H108" s="205"/>
      <c r="I108" s="147"/>
    </row>
    <row r="109" spans="2:13" hidden="1"/>
    <row r="110" spans="2:13" hidden="1"/>
    <row r="111" spans="2:13" hidden="1">
      <c r="B111" s="7" t="s">
        <v>79</v>
      </c>
      <c r="F111" s="7" t="s">
        <v>80</v>
      </c>
    </row>
    <row r="112" spans="2:13" ht="27" hidden="1">
      <c r="B112" s="153" t="s">
        <v>81</v>
      </c>
      <c r="C112" s="62" t="s">
        <v>82</v>
      </c>
      <c r="D112" s="68" t="s">
        <v>83</v>
      </c>
      <c r="F112" s="62" t="s">
        <v>84</v>
      </c>
      <c r="G112" s="68" t="s">
        <v>83</v>
      </c>
    </row>
    <row r="113" spans="2:7" ht="14.25" hidden="1">
      <c r="B113" s="69">
        <v>40634</v>
      </c>
      <c r="C113" s="13">
        <v>5000000</v>
      </c>
      <c r="D113" s="13">
        <v>7</v>
      </c>
      <c r="F113" s="70">
        <f>VLOOKUP(D14, B113:D116, 2,TRUE)</f>
        <v>20000000</v>
      </c>
      <c r="G113" s="71">
        <f>VLOOKUP(D14,B113:D116, 3,TRUE)</f>
        <v>9</v>
      </c>
    </row>
    <row r="114" spans="2:7" hidden="1">
      <c r="B114" s="69">
        <v>41730</v>
      </c>
      <c r="C114" s="13">
        <v>10000000</v>
      </c>
      <c r="D114" s="13">
        <v>7</v>
      </c>
      <c r="E114" s="5" t="s">
        <v>85</v>
      </c>
    </row>
    <row r="115" spans="2:7" hidden="1">
      <c r="B115" s="69">
        <v>42095</v>
      </c>
      <c r="C115" s="13">
        <v>20000000</v>
      </c>
      <c r="D115" s="13">
        <v>9</v>
      </c>
    </row>
    <row r="116" spans="2:7" hidden="1">
      <c r="B116" s="69"/>
      <c r="C116" s="13"/>
      <c r="D116" s="13"/>
    </row>
    <row r="117" spans="2:7" hidden="1"/>
  </sheetData>
  <sheetProtection sheet="1" formatCells="0"/>
  <mergeCells count="51">
    <mergeCell ref="G104:H104"/>
    <mergeCell ref="G105:H105"/>
    <mergeCell ref="G106:H106"/>
    <mergeCell ref="G107:H107"/>
    <mergeCell ref="G108:H108"/>
    <mergeCell ref="A1:V1"/>
    <mergeCell ref="D7:E7"/>
    <mergeCell ref="D8:E8"/>
    <mergeCell ref="B7:C7"/>
    <mergeCell ref="B8:C8"/>
    <mergeCell ref="K2:Q2"/>
    <mergeCell ref="A4:N4"/>
    <mergeCell ref="A5:N5"/>
    <mergeCell ref="B9:C9"/>
    <mergeCell ref="D9:E9"/>
    <mergeCell ref="A15:C15"/>
    <mergeCell ref="B13:C13"/>
    <mergeCell ref="D13:E13"/>
    <mergeCell ref="B10:C10"/>
    <mergeCell ref="B11:C11"/>
    <mergeCell ref="D10:E10"/>
    <mergeCell ref="D11:E11"/>
    <mergeCell ref="D12:E12"/>
    <mergeCell ref="A12:C12"/>
    <mergeCell ref="B29:B31"/>
    <mergeCell ref="I20:M20"/>
    <mergeCell ref="B14:C14"/>
    <mergeCell ref="D14:E14"/>
    <mergeCell ref="D15:E15"/>
    <mergeCell ref="I15:O15"/>
    <mergeCell ref="G14:H14"/>
    <mergeCell ref="F18:M18"/>
    <mergeCell ref="G22:H22"/>
    <mergeCell ref="I22:M22"/>
    <mergeCell ref="G23:G24"/>
    <mergeCell ref="G20:H20"/>
    <mergeCell ref="I23:M23"/>
    <mergeCell ref="I24:M24"/>
    <mergeCell ref="G21:H21"/>
    <mergeCell ref="I21:M21"/>
    <mergeCell ref="F17:O17"/>
    <mergeCell ref="N18:O19"/>
    <mergeCell ref="G19:H19"/>
    <mergeCell ref="I19:M19"/>
    <mergeCell ref="E63:G63"/>
    <mergeCell ref="G25:H26"/>
    <mergeCell ref="I25:M25"/>
    <mergeCell ref="I26:M26"/>
    <mergeCell ref="C39:V39"/>
    <mergeCell ref="V29:V31"/>
    <mergeCell ref="R43:U43"/>
  </mergeCells>
  <phoneticPr fontId="17"/>
  <conditionalFormatting sqref="H28:U28">
    <cfRule type="expression" dxfId="17" priority="4" stopIfTrue="1">
      <formula>$H$48=$E$98</formula>
    </cfRule>
    <cfRule type="expression" dxfId="16" priority="14" stopIfTrue="1">
      <formula>$N$48=$E$98</formula>
    </cfRule>
    <cfRule type="cellIs" dxfId="15" priority="15" stopIfTrue="1" operator="equal">
      <formula>$E$98=$N$48</formula>
    </cfRule>
    <cfRule type="cellIs" dxfId="14" priority="16" stopIfTrue="1" operator="equal">
      <formula>$N$48=$E$98</formula>
    </cfRule>
  </conditionalFormatting>
  <conditionalFormatting sqref="I28">
    <cfRule type="expression" dxfId="13" priority="3" stopIfTrue="1">
      <formula>$I$48=$E$98</formula>
    </cfRule>
  </conditionalFormatting>
  <conditionalFormatting sqref="J28">
    <cfRule type="expression" dxfId="12" priority="2" stopIfTrue="1">
      <formula>$J$48=$E$98</formula>
    </cfRule>
  </conditionalFormatting>
  <conditionalFormatting sqref="K28">
    <cfRule type="expression" dxfId="11" priority="1" stopIfTrue="1">
      <formula>$K$48=$E$98</formula>
    </cfRule>
  </conditionalFormatting>
  <conditionalFormatting sqref="L28">
    <cfRule type="expression" dxfId="10" priority="5" stopIfTrue="1">
      <formula>$L$48=$E$98</formula>
    </cfRule>
  </conditionalFormatting>
  <conditionalFormatting sqref="M28">
    <cfRule type="expression" dxfId="9" priority="6" stopIfTrue="1">
      <formula>$M$48=$E$98</formula>
    </cfRule>
  </conditionalFormatting>
  <conditionalFormatting sqref="O28:U28">
    <cfRule type="expression" dxfId="8" priority="21" stopIfTrue="1">
      <formula>$O$48=$E$98</formula>
    </cfRule>
    <cfRule type="expression" dxfId="7" priority="22" stopIfTrue="1">
      <formula>$O$4=$E$98</formula>
    </cfRule>
  </conditionalFormatting>
  <conditionalFormatting sqref="P28">
    <cfRule type="expression" dxfId="6" priority="13" stopIfTrue="1">
      <formula>$P$48=$E$98</formula>
    </cfRule>
  </conditionalFormatting>
  <conditionalFormatting sqref="Q28">
    <cfRule type="expression" dxfId="5" priority="12" stopIfTrue="1">
      <formula>$Q$48=$E$98</formula>
    </cfRule>
  </conditionalFormatting>
  <conditionalFormatting sqref="R28">
    <cfRule type="expression" dxfId="4" priority="10" stopIfTrue="1">
      <formula>$R$48=$E$98</formula>
    </cfRule>
    <cfRule type="cellIs" dxfId="3" priority="11" stopIfTrue="1" operator="equal">
      <formula>$R$48=$E$98</formula>
    </cfRule>
  </conditionalFormatting>
  <conditionalFormatting sqref="S28">
    <cfRule type="expression" dxfId="2" priority="9" stopIfTrue="1">
      <formula>$S$48=$E$98</formula>
    </cfRule>
  </conditionalFormatting>
  <conditionalFormatting sqref="T28">
    <cfRule type="expression" dxfId="1" priority="8" stopIfTrue="1">
      <formula>$T$48=$E$98</formula>
    </cfRule>
  </conditionalFormatting>
  <conditionalFormatting sqref="U28">
    <cfRule type="expression" dxfId="0" priority="7" stopIfTrue="1">
      <formula>$U$48=$E$98</formula>
    </cfRule>
  </conditionalFormatting>
  <dataValidations count="4">
    <dataValidation type="whole" allowBlank="1" showInputMessage="1" showErrorMessage="1" sqref="D15:E15 D13:E13" xr:uid="{00000000-0002-0000-0000-000000000000}">
      <formula1>1</formula1>
      <formula2>7</formula2>
    </dataValidation>
    <dataValidation type="whole" errorStyle="warning" operator="greaterThanOrEqual" allowBlank="1" showInputMessage="1" showErrorMessage="1" error="入力し直し" sqref="D7:E9 D10:D12" xr:uid="{00000000-0002-0000-0000-000001000000}">
      <formula1>100000</formula1>
    </dataValidation>
    <dataValidation type="date" operator="greaterThanOrEqual" allowBlank="1" showInputMessage="1" showErrorMessage="1" sqref="D14:E14" xr:uid="{00000000-0002-0000-0000-000003000000}">
      <formula1>42461</formula1>
    </dataValidation>
    <dataValidation type="list" operator="equal" showInputMessage="1" showErrorMessage="1" sqref="F12" xr:uid="{A068919F-75E9-45C9-A70B-949DA4DA9108}">
      <formula1>"0,0.1"</formula1>
    </dataValidation>
  </dataValidations>
  <printOptions horizontalCentered="1"/>
  <pageMargins left="0.19685039370078741" right="0.19685039370078741" top="0.86614173228346458" bottom="0.27559055118110237" header="0.51181102362204722" footer="0.19685039370078741"/>
  <pageSetup paperSize="9" scale="60" orientation="landscape" cellComments="asDisplayed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貸付料等計算書（補助付リース貸付け）</vt:lpstr>
      <vt:lpstr>'貸付料等計算書（補助付リース貸付け）'!Print_Area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bajijigyobu1</dc:creator>
  <cp:lastModifiedBy>戸倉 智</cp:lastModifiedBy>
  <cp:lastPrinted>2021-11-09T05:28:24Z</cp:lastPrinted>
  <dcterms:created xsi:type="dcterms:W3CDTF">2012-12-17T02:11:01Z</dcterms:created>
  <dcterms:modified xsi:type="dcterms:W3CDTF">2026-02-04T04:46:03Z</dcterms:modified>
</cp:coreProperties>
</file>