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kok\Documents\html\document\exsel\"/>
    </mc:Choice>
  </mc:AlternateContent>
  <xr:revisionPtr revIDLastSave="0" documentId="13_ncr:1_{1EA18A53-E7CE-4903-979A-5A6746133E5B}" xr6:coauthVersionLast="47" xr6:coauthVersionMax="47" xr10:uidLastSave="{00000000-0000-0000-0000-000000000000}"/>
  <bookViews>
    <workbookView xWindow="-108" yWindow="-108" windowWidth="23256" windowHeight="12576" tabRatio="903" activeTab="1" xr2:uid="{00000000-000D-0000-FFFF-FFFF00000000}"/>
  </bookViews>
  <sheets>
    <sheet name="信用保険料計算書（上限2000万）" sheetId="5" r:id="rId1"/>
    <sheet name="計算書（明細）" sheetId="20" r:id="rId2"/>
    <sheet name="計算書（第1回）" sheetId="11" r:id="rId3"/>
    <sheet name="計算書（第2回）" sheetId="21" r:id="rId4"/>
    <sheet name="計算書（第3回）" sheetId="22" r:id="rId5"/>
    <sheet name="計算書（第4回）" sheetId="23" r:id="rId6"/>
    <sheet name="計算書（第5回）" sheetId="24" r:id="rId7"/>
    <sheet name="計算書（第6回）" sheetId="25" r:id="rId8"/>
    <sheet name="計算書（第7回）" sheetId="26" r:id="rId9"/>
  </sheets>
  <definedNames>
    <definedName name="_xlnm.Print_Area" localSheetId="2">'計算書（第1回）'!$A$1:$V$124</definedName>
    <definedName name="_xlnm.Print_Area" localSheetId="3">'計算書（第2回）'!$A$1:$V$124</definedName>
    <definedName name="_xlnm.Print_Area" localSheetId="4">'計算書（第3回）'!$A$1:$V$124</definedName>
    <definedName name="_xlnm.Print_Area" localSheetId="5">'計算書（第4回）'!$A$1:$V$124</definedName>
    <definedName name="_xlnm.Print_Area" localSheetId="6">'計算書（第5回）'!$A$1:$V$124</definedName>
    <definedName name="_xlnm.Print_Area" localSheetId="7">'計算書（第6回）'!$A$1:$V$124</definedName>
    <definedName name="_xlnm.Print_Area" localSheetId="8">'計算書（第7回）'!$A$1:$V$124</definedName>
    <definedName name="_xlnm.Print_Area" localSheetId="0">'信用保険料計算書（上限2000万）'!$A$1:$R$47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3" i="20" l="1"/>
  <c r="W132" i="20"/>
  <c r="W131" i="20"/>
  <c r="W130" i="20"/>
  <c r="W129" i="20"/>
  <c r="W128" i="20"/>
  <c r="W127" i="20"/>
  <c r="W126" i="20"/>
  <c r="W125" i="20"/>
  <c r="W124" i="20"/>
  <c r="W123" i="20"/>
  <c r="W122" i="20"/>
  <c r="W121" i="20"/>
  <c r="W120" i="20"/>
  <c r="W119" i="20"/>
  <c r="W118" i="20"/>
  <c r="W117" i="20"/>
  <c r="W116" i="20"/>
  <c r="W115" i="20"/>
  <c r="W114" i="20"/>
  <c r="W113" i="20"/>
  <c r="W112" i="20"/>
  <c r="W111" i="20"/>
  <c r="W110" i="20"/>
  <c r="W109" i="20"/>
  <c r="W108" i="20"/>
  <c r="W107" i="20"/>
  <c r="W106" i="20"/>
  <c r="W105" i="20"/>
  <c r="W104" i="20"/>
  <c r="W103" i="20"/>
  <c r="W102" i="20"/>
  <c r="W101" i="20"/>
  <c r="W100" i="20"/>
  <c r="W99" i="20"/>
  <c r="W98" i="20"/>
  <c r="W97" i="20"/>
  <c r="W96" i="20"/>
  <c r="W95" i="20"/>
  <c r="W94" i="20"/>
  <c r="W93" i="20"/>
  <c r="W92" i="20"/>
  <c r="W91" i="20"/>
  <c r="W90" i="20"/>
  <c r="W89" i="20"/>
  <c r="W88" i="20"/>
  <c r="W87" i="20"/>
  <c r="W86" i="20"/>
  <c r="W85" i="20"/>
  <c r="W84" i="20"/>
  <c r="W83" i="20"/>
  <c r="W82" i="20"/>
  <c r="W81" i="20"/>
  <c r="W80" i="20"/>
  <c r="W79" i="20"/>
  <c r="W78" i="20"/>
  <c r="W77" i="20"/>
  <c r="W76" i="20"/>
  <c r="W75" i="20"/>
  <c r="W74" i="20"/>
  <c r="W73" i="20"/>
  <c r="W72" i="20"/>
  <c r="W71" i="20"/>
  <c r="W70" i="20"/>
  <c r="W69" i="20"/>
  <c r="W68" i="20"/>
  <c r="W67" i="20"/>
  <c r="W66" i="20"/>
  <c r="W65" i="20"/>
  <c r="W64" i="20"/>
  <c r="W63" i="20"/>
  <c r="W62" i="20"/>
  <c r="W61" i="20"/>
  <c r="W60" i="20"/>
  <c r="W59" i="20"/>
  <c r="W58" i="20"/>
  <c r="W57" i="20"/>
  <c r="W56" i="20"/>
  <c r="W55" i="20"/>
  <c r="W54" i="20"/>
  <c r="W53" i="20"/>
  <c r="W52" i="20"/>
  <c r="W51" i="20"/>
  <c r="W50" i="20"/>
  <c r="W49" i="20"/>
  <c r="W48" i="20"/>
  <c r="W47" i="20"/>
  <c r="W4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10" i="20"/>
  <c r="W9" i="20"/>
  <c r="W8" i="20"/>
  <c r="W7" i="20"/>
  <c r="W6" i="20"/>
  <c r="W5" i="20"/>
  <c r="W4" i="20"/>
  <c r="W3" i="20"/>
  <c r="W134" i="20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D124" i="24"/>
  <c r="C124" i="24"/>
  <c r="C124" i="22"/>
  <c r="C124" i="21"/>
  <c r="U60" i="26"/>
  <c r="U62" i="26" s="1"/>
  <c r="T60" i="26"/>
  <c r="T62" i="26" s="1"/>
  <c r="S60" i="26"/>
  <c r="S62" i="26" s="1"/>
  <c r="R60" i="26"/>
  <c r="R62" i="26" s="1"/>
  <c r="Q60" i="26"/>
  <c r="Q62" i="26" s="1"/>
  <c r="P60" i="26"/>
  <c r="P62" i="26" s="1"/>
  <c r="O60" i="26"/>
  <c r="O62" i="26" s="1"/>
  <c r="N60" i="26"/>
  <c r="N62" i="26" s="1"/>
  <c r="M60" i="26"/>
  <c r="M62" i="26" s="1"/>
  <c r="L60" i="26"/>
  <c r="L62" i="26" s="1"/>
  <c r="K60" i="26"/>
  <c r="K62" i="26" s="1"/>
  <c r="J60" i="26"/>
  <c r="J62" i="26" s="1"/>
  <c r="I60" i="26"/>
  <c r="I62" i="26" s="1"/>
  <c r="H60" i="26"/>
  <c r="H62" i="26" s="1"/>
  <c r="G60" i="26"/>
  <c r="G62" i="26" s="1"/>
  <c r="F60" i="26"/>
  <c r="F62" i="26" s="1"/>
  <c r="E60" i="26"/>
  <c r="E62" i="26" s="1"/>
  <c r="D60" i="26"/>
  <c r="D62" i="26" s="1"/>
  <c r="C60" i="26"/>
  <c r="D55" i="26"/>
  <c r="C55" i="26"/>
  <c r="U52" i="26"/>
  <c r="D51" i="26"/>
  <c r="U49" i="26"/>
  <c r="U53" i="26" s="1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D53" i="26" s="1"/>
  <c r="C49" i="26"/>
  <c r="V48" i="26"/>
  <c r="C44" i="26"/>
  <c r="C53" i="26" s="1"/>
  <c r="C39" i="26"/>
  <c r="C35" i="26"/>
  <c r="V35" i="26" s="1"/>
  <c r="D34" i="26"/>
  <c r="C34" i="26"/>
  <c r="U32" i="26"/>
  <c r="U33" i="26" s="1"/>
  <c r="T32" i="26"/>
  <c r="T33" i="26" s="1"/>
  <c r="S32" i="26"/>
  <c r="S33" i="26" s="1"/>
  <c r="R32" i="26"/>
  <c r="R33" i="26" s="1"/>
  <c r="Q32" i="26"/>
  <c r="Q33" i="26" s="1"/>
  <c r="P32" i="26"/>
  <c r="P33" i="26" s="1"/>
  <c r="O32" i="26"/>
  <c r="O33" i="26" s="1"/>
  <c r="N32" i="26"/>
  <c r="N33" i="26" s="1"/>
  <c r="M32" i="26"/>
  <c r="M33" i="26" s="1"/>
  <c r="L32" i="26"/>
  <c r="L33" i="26" s="1"/>
  <c r="K32" i="26"/>
  <c r="K33" i="26" s="1"/>
  <c r="J32" i="26"/>
  <c r="J33" i="26" s="1"/>
  <c r="I32" i="26"/>
  <c r="I33" i="26" s="1"/>
  <c r="H32" i="26"/>
  <c r="H33" i="26" s="1"/>
  <c r="G32" i="26"/>
  <c r="G33" i="26" s="1"/>
  <c r="F32" i="26"/>
  <c r="F33" i="26" s="1"/>
  <c r="E32" i="26"/>
  <c r="E33" i="26" s="1"/>
  <c r="D32" i="26"/>
  <c r="D30" i="26"/>
  <c r="D36" i="26" s="1"/>
  <c r="C28" i="26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S28" i="26" s="1"/>
  <c r="T28" i="26" s="1"/>
  <c r="U28" i="26" s="1"/>
  <c r="U60" i="25"/>
  <c r="U62" i="25" s="1"/>
  <c r="T60" i="25"/>
  <c r="T62" i="25" s="1"/>
  <c r="S60" i="25"/>
  <c r="S62" i="25" s="1"/>
  <c r="R60" i="25"/>
  <c r="R62" i="25" s="1"/>
  <c r="Q60" i="25"/>
  <c r="Q62" i="25" s="1"/>
  <c r="P60" i="25"/>
  <c r="P62" i="25" s="1"/>
  <c r="O60" i="25"/>
  <c r="O62" i="25" s="1"/>
  <c r="N60" i="25"/>
  <c r="N62" i="25" s="1"/>
  <c r="M60" i="25"/>
  <c r="M62" i="25" s="1"/>
  <c r="L60" i="25"/>
  <c r="L62" i="25" s="1"/>
  <c r="K60" i="25"/>
  <c r="K62" i="25" s="1"/>
  <c r="J60" i="25"/>
  <c r="J62" i="25" s="1"/>
  <c r="I60" i="25"/>
  <c r="I62" i="25" s="1"/>
  <c r="H60" i="25"/>
  <c r="H62" i="25" s="1"/>
  <c r="G60" i="25"/>
  <c r="G62" i="25" s="1"/>
  <c r="F60" i="25"/>
  <c r="F62" i="25" s="1"/>
  <c r="E60" i="25"/>
  <c r="E62" i="25" s="1"/>
  <c r="D60" i="25"/>
  <c r="D62" i="25" s="1"/>
  <c r="C60" i="25"/>
  <c r="D55" i="25"/>
  <c r="C55" i="25"/>
  <c r="U52" i="25"/>
  <c r="D51" i="25"/>
  <c r="U49" i="25"/>
  <c r="U53" i="25" s="1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D53" i="25" s="1"/>
  <c r="C49" i="25"/>
  <c r="V48" i="25"/>
  <c r="C44" i="25"/>
  <c r="C53" i="25" s="1"/>
  <c r="C39" i="25"/>
  <c r="C35" i="25"/>
  <c r="V35" i="25" s="1"/>
  <c r="D34" i="25"/>
  <c r="C34" i="25"/>
  <c r="U32" i="25"/>
  <c r="U33" i="25" s="1"/>
  <c r="T32" i="25"/>
  <c r="T33" i="25" s="1"/>
  <c r="S32" i="25"/>
  <c r="S33" i="25" s="1"/>
  <c r="R32" i="25"/>
  <c r="R33" i="25" s="1"/>
  <c r="Q32" i="25"/>
  <c r="Q33" i="25" s="1"/>
  <c r="P32" i="25"/>
  <c r="P33" i="25" s="1"/>
  <c r="O32" i="25"/>
  <c r="O33" i="25" s="1"/>
  <c r="N32" i="25"/>
  <c r="N33" i="25" s="1"/>
  <c r="M32" i="25"/>
  <c r="M33" i="25" s="1"/>
  <c r="L32" i="25"/>
  <c r="L33" i="25" s="1"/>
  <c r="K32" i="25"/>
  <c r="K33" i="25" s="1"/>
  <c r="J32" i="25"/>
  <c r="J33" i="25" s="1"/>
  <c r="I32" i="25"/>
  <c r="I33" i="25" s="1"/>
  <c r="H32" i="25"/>
  <c r="H33" i="25" s="1"/>
  <c r="G32" i="25"/>
  <c r="G33" i="25" s="1"/>
  <c r="F32" i="25"/>
  <c r="F33" i="25" s="1"/>
  <c r="E32" i="25"/>
  <c r="E33" i="25" s="1"/>
  <c r="D32" i="25"/>
  <c r="D30" i="25"/>
  <c r="D36" i="25" s="1"/>
  <c r="C28" i="25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S28" i="25" s="1"/>
  <c r="T28" i="25" s="1"/>
  <c r="U28" i="25" s="1"/>
  <c r="U60" i="24"/>
  <c r="U62" i="24" s="1"/>
  <c r="T60" i="24"/>
  <c r="T62" i="24" s="1"/>
  <c r="S60" i="24"/>
  <c r="S62" i="24" s="1"/>
  <c r="R60" i="24"/>
  <c r="R62" i="24" s="1"/>
  <c r="Q60" i="24"/>
  <c r="Q62" i="24" s="1"/>
  <c r="P60" i="24"/>
  <c r="P62" i="24" s="1"/>
  <c r="O60" i="24"/>
  <c r="O62" i="24" s="1"/>
  <c r="N60" i="24"/>
  <c r="N62" i="24" s="1"/>
  <c r="M60" i="24"/>
  <c r="M62" i="24" s="1"/>
  <c r="L60" i="24"/>
  <c r="L62" i="24" s="1"/>
  <c r="K60" i="24"/>
  <c r="K62" i="24" s="1"/>
  <c r="J60" i="24"/>
  <c r="J62" i="24" s="1"/>
  <c r="I60" i="24"/>
  <c r="I62" i="24" s="1"/>
  <c r="H60" i="24"/>
  <c r="H62" i="24" s="1"/>
  <c r="G60" i="24"/>
  <c r="G62" i="24" s="1"/>
  <c r="F60" i="24"/>
  <c r="F62" i="24" s="1"/>
  <c r="E60" i="24"/>
  <c r="E62" i="24" s="1"/>
  <c r="D60" i="24"/>
  <c r="D62" i="24" s="1"/>
  <c r="C60" i="24"/>
  <c r="D55" i="24"/>
  <c r="C55" i="24"/>
  <c r="U52" i="24"/>
  <c r="D51" i="24"/>
  <c r="U49" i="24"/>
  <c r="U53" i="24" s="1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D53" i="24" s="1"/>
  <c r="C49" i="24"/>
  <c r="V48" i="24"/>
  <c r="C44" i="24"/>
  <c r="C53" i="24" s="1"/>
  <c r="C39" i="24"/>
  <c r="C35" i="24"/>
  <c r="V35" i="24" s="1"/>
  <c r="D34" i="24"/>
  <c r="C34" i="24"/>
  <c r="U32" i="24"/>
  <c r="U33" i="24" s="1"/>
  <c r="T32" i="24"/>
  <c r="T33" i="24" s="1"/>
  <c r="S32" i="24"/>
  <c r="S33" i="24" s="1"/>
  <c r="R32" i="24"/>
  <c r="R33" i="24" s="1"/>
  <c r="Q32" i="24"/>
  <c r="Q33" i="24" s="1"/>
  <c r="P32" i="24"/>
  <c r="P33" i="24" s="1"/>
  <c r="O32" i="24"/>
  <c r="O33" i="24" s="1"/>
  <c r="N32" i="24"/>
  <c r="N33" i="24" s="1"/>
  <c r="M32" i="24"/>
  <c r="M33" i="24" s="1"/>
  <c r="L32" i="24"/>
  <c r="L33" i="24" s="1"/>
  <c r="K32" i="24"/>
  <c r="K33" i="24" s="1"/>
  <c r="J32" i="24"/>
  <c r="J33" i="24" s="1"/>
  <c r="I32" i="24"/>
  <c r="I33" i="24" s="1"/>
  <c r="H32" i="24"/>
  <c r="H33" i="24" s="1"/>
  <c r="G32" i="24"/>
  <c r="G33" i="24" s="1"/>
  <c r="F32" i="24"/>
  <c r="F33" i="24" s="1"/>
  <c r="E32" i="24"/>
  <c r="E33" i="24" s="1"/>
  <c r="D32" i="24"/>
  <c r="D30" i="24"/>
  <c r="D36" i="24" s="1"/>
  <c r="C28" i="24"/>
  <c r="D28" i="24" s="1"/>
  <c r="E28" i="24" s="1"/>
  <c r="F28" i="24" s="1"/>
  <c r="G28" i="24" s="1"/>
  <c r="H28" i="24" s="1"/>
  <c r="I28" i="24" s="1"/>
  <c r="J28" i="24" s="1"/>
  <c r="K28" i="24" s="1"/>
  <c r="L28" i="24" s="1"/>
  <c r="M28" i="24" s="1"/>
  <c r="N28" i="24" s="1"/>
  <c r="O28" i="24" s="1"/>
  <c r="P28" i="24" s="1"/>
  <c r="Q28" i="24" s="1"/>
  <c r="R28" i="24" s="1"/>
  <c r="S28" i="24" s="1"/>
  <c r="T28" i="24" s="1"/>
  <c r="U28" i="24" s="1"/>
  <c r="C35" i="23"/>
  <c r="V35" i="23" s="1"/>
  <c r="U60" i="22"/>
  <c r="U62" i="22" s="1"/>
  <c r="T60" i="22"/>
  <c r="T62" i="22" s="1"/>
  <c r="S60" i="22"/>
  <c r="S62" i="22" s="1"/>
  <c r="R60" i="22"/>
  <c r="R62" i="22" s="1"/>
  <c r="Q60" i="22"/>
  <c r="Q62" i="22" s="1"/>
  <c r="P60" i="22"/>
  <c r="P62" i="22" s="1"/>
  <c r="O60" i="22"/>
  <c r="O62" i="22" s="1"/>
  <c r="N60" i="22"/>
  <c r="N62" i="22" s="1"/>
  <c r="M60" i="22"/>
  <c r="M62" i="22" s="1"/>
  <c r="L60" i="22"/>
  <c r="L62" i="22" s="1"/>
  <c r="K60" i="22"/>
  <c r="K62" i="22" s="1"/>
  <c r="J60" i="22"/>
  <c r="J62" i="22" s="1"/>
  <c r="I60" i="22"/>
  <c r="I62" i="22" s="1"/>
  <c r="H60" i="22"/>
  <c r="H62" i="22" s="1"/>
  <c r="G60" i="22"/>
  <c r="G62" i="22" s="1"/>
  <c r="F60" i="22"/>
  <c r="F62" i="22" s="1"/>
  <c r="E60" i="22"/>
  <c r="E62" i="22" s="1"/>
  <c r="D60" i="22"/>
  <c r="D62" i="22" s="1"/>
  <c r="C60" i="22"/>
  <c r="D55" i="22"/>
  <c r="C55" i="22"/>
  <c r="C53" i="22"/>
  <c r="U52" i="22"/>
  <c r="D51" i="22"/>
  <c r="U49" i="22"/>
  <c r="U53" i="22" s="1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D53" i="22" s="1"/>
  <c r="C49" i="22"/>
  <c r="V48" i="22"/>
  <c r="C39" i="22"/>
  <c r="C35" i="22"/>
  <c r="V35" i="22" s="1"/>
  <c r="D34" i="22"/>
  <c r="C34" i="22"/>
  <c r="U32" i="22"/>
  <c r="U33" i="22" s="1"/>
  <c r="T32" i="22"/>
  <c r="T33" i="22" s="1"/>
  <c r="S32" i="22"/>
  <c r="S33" i="22" s="1"/>
  <c r="R32" i="22"/>
  <c r="R33" i="22" s="1"/>
  <c r="Q32" i="22"/>
  <c r="Q33" i="22" s="1"/>
  <c r="P32" i="22"/>
  <c r="P33" i="22" s="1"/>
  <c r="O32" i="22"/>
  <c r="O33" i="22" s="1"/>
  <c r="N32" i="22"/>
  <c r="N33" i="22" s="1"/>
  <c r="M32" i="22"/>
  <c r="M33" i="22" s="1"/>
  <c r="L32" i="22"/>
  <c r="L33" i="22" s="1"/>
  <c r="K32" i="22"/>
  <c r="K33" i="22" s="1"/>
  <c r="J32" i="22"/>
  <c r="J33" i="22" s="1"/>
  <c r="I32" i="22"/>
  <c r="I33" i="22" s="1"/>
  <c r="H32" i="22"/>
  <c r="H33" i="22" s="1"/>
  <c r="G32" i="22"/>
  <c r="G33" i="22" s="1"/>
  <c r="F32" i="22"/>
  <c r="F33" i="22" s="1"/>
  <c r="E32" i="22"/>
  <c r="E33" i="22" s="1"/>
  <c r="D32" i="22"/>
  <c r="D30" i="22"/>
  <c r="D36" i="22" s="1"/>
  <c r="C28" i="22"/>
  <c r="D28" i="22" s="1"/>
  <c r="E28" i="22" s="1"/>
  <c r="F28" i="22" s="1"/>
  <c r="G28" i="22" s="1"/>
  <c r="H28" i="22" s="1"/>
  <c r="I28" i="22" s="1"/>
  <c r="J28" i="22" s="1"/>
  <c r="K28" i="22" s="1"/>
  <c r="L28" i="22" s="1"/>
  <c r="M28" i="22" s="1"/>
  <c r="N28" i="22" s="1"/>
  <c r="O28" i="22" s="1"/>
  <c r="P28" i="22" s="1"/>
  <c r="Q28" i="22" s="1"/>
  <c r="R28" i="22" s="1"/>
  <c r="S28" i="22" s="1"/>
  <c r="T28" i="22" s="1"/>
  <c r="U28" i="22" s="1"/>
  <c r="D7" i="22"/>
  <c r="D8" i="22"/>
  <c r="D9" i="22"/>
  <c r="F10" i="22"/>
  <c r="D10" i="22" s="1"/>
  <c r="D11" i="22"/>
  <c r="D12" i="22"/>
  <c r="G12" i="22"/>
  <c r="A45" i="22"/>
  <c r="A51" i="22"/>
  <c r="H64" i="22"/>
  <c r="H65" i="22"/>
  <c r="I65" i="22"/>
  <c r="D74" i="22"/>
  <c r="E65" i="22" s="1"/>
  <c r="G74" i="22"/>
  <c r="D75" i="22"/>
  <c r="D76" i="22"/>
  <c r="D77" i="22"/>
  <c r="C78" i="22"/>
  <c r="D78" i="22"/>
  <c r="C79" i="22"/>
  <c r="D79" i="22"/>
  <c r="C80" i="22"/>
  <c r="C74" i="22" s="1"/>
  <c r="D65" i="22" s="1"/>
  <c r="D80" i="22"/>
  <c r="C81" i="22"/>
  <c r="C75" i="22" s="1"/>
  <c r="D81" i="22"/>
  <c r="C82" i="22"/>
  <c r="C76" i="22" s="1"/>
  <c r="D82" i="22"/>
  <c r="D83" i="22"/>
  <c r="C84" i="22"/>
  <c r="D84" i="22"/>
  <c r="C85" i="22"/>
  <c r="D85" i="22"/>
  <c r="B98" i="22"/>
  <c r="C98" i="22"/>
  <c r="E98" i="22"/>
  <c r="B99" i="22"/>
  <c r="C99" i="22"/>
  <c r="E106" i="22"/>
  <c r="K106" i="22"/>
  <c r="C44" i="22" s="1"/>
  <c r="W48" i="22"/>
  <c r="X48" i="22"/>
  <c r="Y48" i="22"/>
  <c r="Z48" i="22"/>
  <c r="AA48" i="22"/>
  <c r="AB48" i="22"/>
  <c r="AC48" i="22"/>
  <c r="AD48" i="22"/>
  <c r="AE48" i="22"/>
  <c r="AF48" i="22"/>
  <c r="AG48" i="22"/>
  <c r="D33" i="26" l="1"/>
  <c r="V33" i="26" s="1"/>
  <c r="V32" i="26"/>
  <c r="E53" i="26"/>
  <c r="E51" i="26"/>
  <c r="E50" i="26"/>
  <c r="F53" i="26"/>
  <c r="F51" i="26"/>
  <c r="F50" i="26"/>
  <c r="G53" i="26"/>
  <c r="G51" i="26"/>
  <c r="G50" i="26"/>
  <c r="H53" i="26"/>
  <c r="H51" i="26"/>
  <c r="H50" i="26"/>
  <c r="I53" i="26"/>
  <c r="I51" i="26"/>
  <c r="I50" i="26"/>
  <c r="J53" i="26"/>
  <c r="J51" i="26"/>
  <c r="J50" i="26"/>
  <c r="K53" i="26"/>
  <c r="K51" i="26"/>
  <c r="K50" i="26"/>
  <c r="L53" i="26"/>
  <c r="L51" i="26"/>
  <c r="L50" i="26"/>
  <c r="M53" i="26"/>
  <c r="M51" i="26"/>
  <c r="M50" i="26"/>
  <c r="N53" i="26"/>
  <c r="N51" i="26"/>
  <c r="N50" i="26"/>
  <c r="O53" i="26"/>
  <c r="O51" i="26"/>
  <c r="O50" i="26"/>
  <c r="P53" i="26"/>
  <c r="P51" i="26"/>
  <c r="P50" i="26"/>
  <c r="Q53" i="26"/>
  <c r="Q51" i="26"/>
  <c r="Q50" i="26"/>
  <c r="R53" i="26"/>
  <c r="R51" i="26"/>
  <c r="R50" i="26"/>
  <c r="S53" i="26"/>
  <c r="S51" i="26"/>
  <c r="S50" i="26"/>
  <c r="T53" i="26"/>
  <c r="T51" i="26"/>
  <c r="T50" i="26"/>
  <c r="U50" i="26" s="1"/>
  <c r="E54" i="26"/>
  <c r="D52" i="26"/>
  <c r="D33" i="25"/>
  <c r="V33" i="25" s="1"/>
  <c r="V32" i="25"/>
  <c r="E53" i="25"/>
  <c r="E51" i="25"/>
  <c r="E50" i="25"/>
  <c r="F53" i="25"/>
  <c r="F51" i="25"/>
  <c r="F50" i="25"/>
  <c r="G53" i="25"/>
  <c r="G51" i="25"/>
  <c r="G50" i="25"/>
  <c r="H53" i="25"/>
  <c r="H51" i="25"/>
  <c r="H50" i="25"/>
  <c r="I53" i="25"/>
  <c r="I51" i="25"/>
  <c r="I50" i="25"/>
  <c r="J53" i="25"/>
  <c r="J51" i="25"/>
  <c r="J50" i="25"/>
  <c r="K53" i="25"/>
  <c r="K51" i="25"/>
  <c r="K50" i="25"/>
  <c r="L53" i="25"/>
  <c r="L51" i="25"/>
  <c r="L50" i="25"/>
  <c r="M53" i="25"/>
  <c r="M51" i="25"/>
  <c r="M50" i="25"/>
  <c r="N53" i="25"/>
  <c r="N51" i="25"/>
  <c r="N50" i="25"/>
  <c r="O53" i="25"/>
  <c r="O51" i="25"/>
  <c r="O50" i="25"/>
  <c r="P53" i="25"/>
  <c r="P51" i="25"/>
  <c r="P50" i="25"/>
  <c r="Q53" i="25"/>
  <c r="Q51" i="25"/>
  <c r="Q50" i="25"/>
  <c r="R53" i="25"/>
  <c r="R51" i="25"/>
  <c r="R50" i="25"/>
  <c r="S53" i="25"/>
  <c r="S51" i="25"/>
  <c r="S50" i="25"/>
  <c r="T53" i="25"/>
  <c r="T51" i="25"/>
  <c r="T50" i="25"/>
  <c r="U50" i="25" s="1"/>
  <c r="E54" i="25"/>
  <c r="D52" i="25"/>
  <c r="D33" i="24"/>
  <c r="V33" i="24" s="1"/>
  <c r="V32" i="24"/>
  <c r="E53" i="24"/>
  <c r="E51" i="24"/>
  <c r="E50" i="24"/>
  <c r="F53" i="24"/>
  <c r="F51" i="24"/>
  <c r="F50" i="24"/>
  <c r="G53" i="24"/>
  <c r="G51" i="24"/>
  <c r="G50" i="24"/>
  <c r="H53" i="24"/>
  <c r="H51" i="24"/>
  <c r="H50" i="24"/>
  <c r="I53" i="24"/>
  <c r="I51" i="24"/>
  <c r="I50" i="24"/>
  <c r="J53" i="24"/>
  <c r="J51" i="24"/>
  <c r="J50" i="24"/>
  <c r="K53" i="24"/>
  <c r="K51" i="24"/>
  <c r="K50" i="24"/>
  <c r="L53" i="24"/>
  <c r="L51" i="24"/>
  <c r="L50" i="24"/>
  <c r="M53" i="24"/>
  <c r="M51" i="24"/>
  <c r="M50" i="24"/>
  <c r="N53" i="24"/>
  <c r="N51" i="24"/>
  <c r="N50" i="24"/>
  <c r="O53" i="24"/>
  <c r="O51" i="24"/>
  <c r="O50" i="24"/>
  <c r="P53" i="24"/>
  <c r="P51" i="24"/>
  <c r="P50" i="24"/>
  <c r="Q53" i="24"/>
  <c r="Q51" i="24"/>
  <c r="Q50" i="24"/>
  <c r="R53" i="24"/>
  <c r="R51" i="24"/>
  <c r="R50" i="24"/>
  <c r="S53" i="24"/>
  <c r="S51" i="24"/>
  <c r="S50" i="24"/>
  <c r="T53" i="24"/>
  <c r="T51" i="24"/>
  <c r="T50" i="24"/>
  <c r="U50" i="24" s="1"/>
  <c r="E54" i="24"/>
  <c r="D52" i="24"/>
  <c r="E53" i="22"/>
  <c r="E51" i="22"/>
  <c r="E50" i="22"/>
  <c r="F53" i="22"/>
  <c r="F51" i="22"/>
  <c r="F50" i="22"/>
  <c r="G53" i="22"/>
  <c r="G51" i="22"/>
  <c r="G50" i="22"/>
  <c r="H53" i="22"/>
  <c r="H51" i="22"/>
  <c r="H50" i="22"/>
  <c r="I53" i="22"/>
  <c r="I51" i="22"/>
  <c r="I50" i="22"/>
  <c r="J53" i="22"/>
  <c r="J51" i="22"/>
  <c r="J50" i="22"/>
  <c r="K53" i="22"/>
  <c r="K51" i="22"/>
  <c r="K50" i="22"/>
  <c r="L53" i="22"/>
  <c r="L51" i="22"/>
  <c r="L50" i="22"/>
  <c r="M53" i="22"/>
  <c r="M51" i="22"/>
  <c r="M50" i="22"/>
  <c r="N53" i="22"/>
  <c r="N51" i="22"/>
  <c r="N50" i="22"/>
  <c r="O53" i="22"/>
  <c r="O51" i="22"/>
  <c r="O50" i="22"/>
  <c r="P53" i="22"/>
  <c r="P51" i="22"/>
  <c r="P50" i="22"/>
  <c r="Q53" i="22"/>
  <c r="Q51" i="22"/>
  <c r="Q50" i="22"/>
  <c r="R53" i="22"/>
  <c r="R51" i="22"/>
  <c r="R50" i="22"/>
  <c r="S53" i="22"/>
  <c r="S51" i="22"/>
  <c r="S50" i="22"/>
  <c r="T53" i="22"/>
  <c r="T51" i="22"/>
  <c r="T50" i="22"/>
  <c r="U50" i="22" s="1"/>
  <c r="E54" i="22"/>
  <c r="D52" i="22"/>
  <c r="D33" i="22"/>
  <c r="V33" i="22" s="1"/>
  <c r="V32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D12" i="26"/>
  <c r="K106" i="26" s="1"/>
  <c r="D11" i="26"/>
  <c r="F10" i="26"/>
  <c r="D8" i="26"/>
  <c r="D9" i="26" s="1"/>
  <c r="D7" i="26"/>
  <c r="D85" i="26"/>
  <c r="D84" i="26"/>
  <c r="D83" i="26"/>
  <c r="D82" i="26"/>
  <c r="C82" i="26"/>
  <c r="C76" i="26" s="1"/>
  <c r="D81" i="26"/>
  <c r="C81" i="26"/>
  <c r="C75" i="26" s="1"/>
  <c r="D80" i="26"/>
  <c r="C80" i="26"/>
  <c r="D79" i="26"/>
  <c r="C79" i="26"/>
  <c r="C85" i="26" s="1"/>
  <c r="D78" i="26"/>
  <c r="C78" i="26"/>
  <c r="C84" i="26" s="1"/>
  <c r="D77" i="26"/>
  <c r="D76" i="26"/>
  <c r="D75" i="26"/>
  <c r="D74" i="26"/>
  <c r="C74" i="26"/>
  <c r="D12" i="25"/>
  <c r="K106" i="25" s="1"/>
  <c r="D11" i="25"/>
  <c r="F10" i="25"/>
  <c r="D8" i="25"/>
  <c r="D9" i="25" s="1"/>
  <c r="D7" i="25"/>
  <c r="D85" i="25"/>
  <c r="D84" i="25"/>
  <c r="D83" i="25"/>
  <c r="D82" i="25"/>
  <c r="C82" i="25"/>
  <c r="C76" i="25" s="1"/>
  <c r="D81" i="25"/>
  <c r="C81" i="25"/>
  <c r="C75" i="25" s="1"/>
  <c r="D80" i="25"/>
  <c r="C80" i="25"/>
  <c r="C74" i="25" s="1"/>
  <c r="D79" i="25"/>
  <c r="C79" i="25"/>
  <c r="C85" i="25" s="1"/>
  <c r="D78" i="25"/>
  <c r="C78" i="25"/>
  <c r="C84" i="25" s="1"/>
  <c r="D77" i="25"/>
  <c r="D76" i="25"/>
  <c r="D75" i="25"/>
  <c r="D74" i="25"/>
  <c r="A45" i="25"/>
  <c r="D12" i="24"/>
  <c r="D11" i="24"/>
  <c r="D11" i="23"/>
  <c r="F10" i="24"/>
  <c r="D8" i="24"/>
  <c r="D7" i="24"/>
  <c r="D85" i="24"/>
  <c r="D84" i="24"/>
  <c r="D83" i="24"/>
  <c r="D82" i="24"/>
  <c r="C82" i="24"/>
  <c r="C76" i="24" s="1"/>
  <c r="D81" i="24"/>
  <c r="C81" i="24"/>
  <c r="C75" i="24" s="1"/>
  <c r="D80" i="24"/>
  <c r="C80" i="24"/>
  <c r="C74" i="24" s="1"/>
  <c r="D79" i="24"/>
  <c r="C79" i="24"/>
  <c r="C85" i="24" s="1"/>
  <c r="D78" i="24"/>
  <c r="C78" i="24"/>
  <c r="C84" i="24" s="1"/>
  <c r="D77" i="24"/>
  <c r="D76" i="24"/>
  <c r="D75" i="24"/>
  <c r="D74" i="24"/>
  <c r="D12" i="23"/>
  <c r="K106" i="23" s="1"/>
  <c r="C44" i="23" s="1"/>
  <c r="F10" i="23"/>
  <c r="D8" i="23"/>
  <c r="V48" i="23" s="1"/>
  <c r="D7" i="23"/>
  <c r="D85" i="23"/>
  <c r="C85" i="23"/>
  <c r="D84" i="23"/>
  <c r="C84" i="23"/>
  <c r="D83" i="23"/>
  <c r="D82" i="23"/>
  <c r="C82" i="23"/>
  <c r="D81" i="23"/>
  <c r="C81" i="23"/>
  <c r="D80" i="23"/>
  <c r="C80" i="23"/>
  <c r="D79" i="23"/>
  <c r="C79" i="23"/>
  <c r="D78" i="23"/>
  <c r="C78" i="23"/>
  <c r="D77" i="23"/>
  <c r="D76" i="23"/>
  <c r="C76" i="23"/>
  <c r="D75" i="23"/>
  <c r="C75" i="23"/>
  <c r="D74" i="23"/>
  <c r="C74" i="23"/>
  <c r="D12" i="21"/>
  <c r="K106" i="21" s="1"/>
  <c r="C44" i="21" s="1"/>
  <c r="D11" i="21"/>
  <c r="F10" i="21"/>
  <c r="D8" i="21"/>
  <c r="D7" i="21"/>
  <c r="D85" i="21"/>
  <c r="D84" i="21"/>
  <c r="D83" i="21"/>
  <c r="D82" i="21"/>
  <c r="C82" i="21"/>
  <c r="D81" i="21"/>
  <c r="C81" i="21"/>
  <c r="D80" i="21"/>
  <c r="C80" i="21"/>
  <c r="D79" i="21"/>
  <c r="C79" i="21"/>
  <c r="C85" i="21" s="1"/>
  <c r="D78" i="21"/>
  <c r="C78" i="21"/>
  <c r="C84" i="21" s="1"/>
  <c r="D77" i="21"/>
  <c r="D76" i="21"/>
  <c r="C76" i="21"/>
  <c r="D75" i="21"/>
  <c r="C75" i="21"/>
  <c r="D74" i="21"/>
  <c r="C74" i="21"/>
  <c r="C35" i="21"/>
  <c r="V35" i="21" s="1"/>
  <c r="D9" i="21"/>
  <c r="D7" i="11"/>
  <c r="F10" i="11"/>
  <c r="D31" i="26" l="1"/>
  <c r="E55" i="26"/>
  <c r="C52" i="26" s="1"/>
  <c r="C31" i="26" s="1"/>
  <c r="V31" i="26" s="1"/>
  <c r="C51" i="26"/>
  <c r="U54" i="26"/>
  <c r="T52" i="26"/>
  <c r="T54" i="26"/>
  <c r="S52" i="26"/>
  <c r="S54" i="26"/>
  <c r="R52" i="26"/>
  <c r="R54" i="26"/>
  <c r="Q52" i="26"/>
  <c r="Q54" i="26"/>
  <c r="P52" i="26"/>
  <c r="P54" i="26"/>
  <c r="O52" i="26"/>
  <c r="O54" i="26"/>
  <c r="N52" i="26"/>
  <c r="N54" i="26"/>
  <c r="M52" i="26"/>
  <c r="M54" i="26"/>
  <c r="L52" i="26"/>
  <c r="L54" i="26"/>
  <c r="K52" i="26"/>
  <c r="K54" i="26"/>
  <c r="J52" i="26"/>
  <c r="J54" i="26"/>
  <c r="I52" i="26"/>
  <c r="I54" i="26"/>
  <c r="H52" i="26"/>
  <c r="H54" i="26"/>
  <c r="G52" i="26"/>
  <c r="G54" i="26"/>
  <c r="F52" i="26"/>
  <c r="F54" i="26"/>
  <c r="E52" i="26"/>
  <c r="E31" i="26" s="1"/>
  <c r="E30" i="26"/>
  <c r="E36" i="26" s="1"/>
  <c r="D31" i="25"/>
  <c r="E55" i="25"/>
  <c r="C52" i="25" s="1"/>
  <c r="C31" i="25" s="1"/>
  <c r="V31" i="25" s="1"/>
  <c r="C51" i="25"/>
  <c r="U54" i="25"/>
  <c r="T52" i="25"/>
  <c r="T54" i="25"/>
  <c r="S52" i="25"/>
  <c r="S54" i="25"/>
  <c r="R52" i="25"/>
  <c r="R54" i="25"/>
  <c r="Q52" i="25"/>
  <c r="Q54" i="25"/>
  <c r="P52" i="25"/>
  <c r="P54" i="25"/>
  <c r="O52" i="25"/>
  <c r="O54" i="25"/>
  <c r="N52" i="25"/>
  <c r="N54" i="25"/>
  <c r="M52" i="25"/>
  <c r="M54" i="25"/>
  <c r="L52" i="25"/>
  <c r="L54" i="25"/>
  <c r="K52" i="25"/>
  <c r="K54" i="25"/>
  <c r="J52" i="25"/>
  <c r="J54" i="25"/>
  <c r="I52" i="25"/>
  <c r="I54" i="25"/>
  <c r="H52" i="25"/>
  <c r="H54" i="25"/>
  <c r="G52" i="25"/>
  <c r="G54" i="25"/>
  <c r="F52" i="25"/>
  <c r="F54" i="25"/>
  <c r="E52" i="25"/>
  <c r="E31" i="25" s="1"/>
  <c r="E30" i="25"/>
  <c r="E36" i="25" s="1"/>
  <c r="D31" i="24"/>
  <c r="E55" i="24"/>
  <c r="C52" i="24" s="1"/>
  <c r="C31" i="24" s="1"/>
  <c r="V31" i="24" s="1"/>
  <c r="C51" i="24"/>
  <c r="U54" i="24"/>
  <c r="T52" i="24"/>
  <c r="T54" i="24"/>
  <c r="S52" i="24"/>
  <c r="S54" i="24"/>
  <c r="R52" i="24"/>
  <c r="R54" i="24"/>
  <c r="Q52" i="24"/>
  <c r="Q54" i="24"/>
  <c r="P52" i="24"/>
  <c r="P54" i="24"/>
  <c r="O52" i="24"/>
  <c r="O54" i="24"/>
  <c r="N52" i="24"/>
  <c r="N54" i="24"/>
  <c r="M52" i="24"/>
  <c r="M54" i="24"/>
  <c r="L52" i="24"/>
  <c r="L54" i="24"/>
  <c r="K52" i="24"/>
  <c r="K54" i="24"/>
  <c r="J52" i="24"/>
  <c r="J54" i="24"/>
  <c r="I52" i="24"/>
  <c r="I54" i="24"/>
  <c r="H52" i="24"/>
  <c r="H54" i="24"/>
  <c r="G52" i="24"/>
  <c r="G54" i="24"/>
  <c r="F52" i="24"/>
  <c r="F54" i="24"/>
  <c r="E52" i="24"/>
  <c r="E31" i="24" s="1"/>
  <c r="E30" i="24"/>
  <c r="E36" i="24" s="1"/>
  <c r="U49" i="23"/>
  <c r="U53" i="23" s="1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D31" i="22"/>
  <c r="E55" i="22"/>
  <c r="C52" i="22" s="1"/>
  <c r="C31" i="22" s="1"/>
  <c r="V31" i="22" s="1"/>
  <c r="C51" i="22"/>
  <c r="U54" i="22"/>
  <c r="T52" i="22"/>
  <c r="T54" i="22"/>
  <c r="S52" i="22"/>
  <c r="S54" i="22"/>
  <c r="R52" i="22"/>
  <c r="R54" i="22"/>
  <c r="Q52" i="22"/>
  <c r="Q54" i="22"/>
  <c r="P52" i="22"/>
  <c r="P54" i="22"/>
  <c r="O52" i="22"/>
  <c r="O54" i="22"/>
  <c r="N52" i="22"/>
  <c r="N54" i="22"/>
  <c r="M52" i="22"/>
  <c r="M54" i="22"/>
  <c r="L52" i="22"/>
  <c r="L54" i="22"/>
  <c r="K52" i="22"/>
  <c r="K54" i="22"/>
  <c r="J52" i="22"/>
  <c r="J54" i="22"/>
  <c r="I52" i="22"/>
  <c r="I54" i="22"/>
  <c r="H52" i="22"/>
  <c r="H54" i="22"/>
  <c r="G52" i="22"/>
  <c r="G54" i="22"/>
  <c r="F52" i="22"/>
  <c r="F54" i="22"/>
  <c r="E52" i="22"/>
  <c r="E31" i="22" s="1"/>
  <c r="E30" i="22"/>
  <c r="E36" i="22" s="1"/>
  <c r="C122" i="22"/>
  <c r="C123" i="22" s="1"/>
  <c r="D9" i="23"/>
  <c r="A45" i="24"/>
  <c r="K106" i="24"/>
  <c r="D9" i="24"/>
  <c r="A51" i="26"/>
  <c r="D10" i="26"/>
  <c r="AF48" i="26"/>
  <c r="AD48" i="26"/>
  <c r="AB48" i="26"/>
  <c r="Z48" i="26"/>
  <c r="X48" i="26"/>
  <c r="E98" i="26"/>
  <c r="G12" i="26"/>
  <c r="Y48" i="26"/>
  <c r="AC48" i="26"/>
  <c r="AG48" i="26"/>
  <c r="B98" i="26"/>
  <c r="E106" i="26"/>
  <c r="C98" i="26"/>
  <c r="C99" i="26" s="1"/>
  <c r="A45" i="26"/>
  <c r="W48" i="26"/>
  <c r="AA48" i="26"/>
  <c r="AE48" i="26"/>
  <c r="A51" i="25"/>
  <c r="D10" i="25"/>
  <c r="AG48" i="25"/>
  <c r="AE48" i="25"/>
  <c r="AC48" i="25"/>
  <c r="AA48" i="25"/>
  <c r="Y48" i="25"/>
  <c r="W48" i="25"/>
  <c r="E98" i="25"/>
  <c r="G12" i="25"/>
  <c r="E65" i="25"/>
  <c r="D65" i="25"/>
  <c r="Z48" i="25"/>
  <c r="AD48" i="25"/>
  <c r="H64" i="25"/>
  <c r="B98" i="25"/>
  <c r="E106" i="25"/>
  <c r="C98" i="25"/>
  <c r="C99" i="25" s="1"/>
  <c r="X48" i="25"/>
  <c r="AB48" i="25"/>
  <c r="AF48" i="25"/>
  <c r="H65" i="25"/>
  <c r="I65" i="25" s="1"/>
  <c r="A51" i="24"/>
  <c r="D10" i="24"/>
  <c r="AG48" i="24"/>
  <c r="AE48" i="24"/>
  <c r="AC48" i="24"/>
  <c r="AA48" i="24"/>
  <c r="Y48" i="24"/>
  <c r="W48" i="24"/>
  <c r="E98" i="24"/>
  <c r="G12" i="24"/>
  <c r="E65" i="24"/>
  <c r="D65" i="24"/>
  <c r="Z48" i="24"/>
  <c r="AD48" i="24"/>
  <c r="H64" i="24"/>
  <c r="B98" i="24"/>
  <c r="E106" i="24"/>
  <c r="C98" i="24"/>
  <c r="C99" i="24" s="1"/>
  <c r="X48" i="24"/>
  <c r="AB48" i="24"/>
  <c r="AF48" i="24"/>
  <c r="H65" i="24"/>
  <c r="I65" i="24" s="1"/>
  <c r="AF48" i="23"/>
  <c r="AD48" i="23"/>
  <c r="AB48" i="23"/>
  <c r="Z48" i="23"/>
  <c r="X48" i="23"/>
  <c r="AG48" i="23"/>
  <c r="AC48" i="23"/>
  <c r="Y48" i="23"/>
  <c r="E98" i="23"/>
  <c r="G12" i="23"/>
  <c r="AA48" i="23"/>
  <c r="E106" i="23"/>
  <c r="C98" i="23"/>
  <c r="C99" i="23" s="1"/>
  <c r="B98" i="23"/>
  <c r="A45" i="23"/>
  <c r="W48" i="23"/>
  <c r="AE48" i="23"/>
  <c r="A51" i="21"/>
  <c r="D51" i="21" s="1"/>
  <c r="D10" i="21"/>
  <c r="B98" i="21"/>
  <c r="E106" i="21"/>
  <c r="C39" i="21" s="1"/>
  <c r="C98" i="21"/>
  <c r="C99" i="21" s="1"/>
  <c r="A45" i="21"/>
  <c r="AG48" i="21"/>
  <c r="AE48" i="21"/>
  <c r="AC48" i="21"/>
  <c r="AA48" i="21"/>
  <c r="Y48" i="21"/>
  <c r="W48" i="21"/>
  <c r="AF48" i="21"/>
  <c r="AD48" i="21"/>
  <c r="AB48" i="21"/>
  <c r="Z48" i="21"/>
  <c r="X48" i="21"/>
  <c r="V48" i="21"/>
  <c r="E98" i="21"/>
  <c r="T49" i="21"/>
  <c r="R49" i="21"/>
  <c r="P49" i="21"/>
  <c r="N49" i="21"/>
  <c r="L49" i="21"/>
  <c r="J49" i="21"/>
  <c r="H49" i="21"/>
  <c r="F49" i="21"/>
  <c r="D49" i="21"/>
  <c r="U49" i="21"/>
  <c r="U53" i="21" s="1"/>
  <c r="S49" i="21"/>
  <c r="Q49" i="21"/>
  <c r="O49" i="21"/>
  <c r="M49" i="21"/>
  <c r="K49" i="21"/>
  <c r="I49" i="21"/>
  <c r="G49" i="21"/>
  <c r="E49" i="21"/>
  <c r="C49" i="21"/>
  <c r="G12" i="21"/>
  <c r="F55" i="26" l="1"/>
  <c r="F30" i="26"/>
  <c r="F31" i="26"/>
  <c r="G55" i="26"/>
  <c r="G30" i="26"/>
  <c r="G31" i="26"/>
  <c r="H55" i="26"/>
  <c r="H30" i="26"/>
  <c r="H31" i="26"/>
  <c r="I55" i="26"/>
  <c r="I30" i="26"/>
  <c r="I31" i="26"/>
  <c r="J55" i="26"/>
  <c r="J30" i="26"/>
  <c r="J31" i="26"/>
  <c r="K55" i="26"/>
  <c r="K30" i="26"/>
  <c r="K31" i="26"/>
  <c r="L55" i="26"/>
  <c r="L30" i="26"/>
  <c r="L31" i="26"/>
  <c r="M55" i="26"/>
  <c r="M30" i="26"/>
  <c r="M31" i="26"/>
  <c r="N55" i="26"/>
  <c r="N30" i="26"/>
  <c r="N31" i="26"/>
  <c r="O55" i="26"/>
  <c r="O30" i="26"/>
  <c r="O31" i="26"/>
  <c r="P55" i="26"/>
  <c r="P30" i="26"/>
  <c r="P31" i="26"/>
  <c r="Q55" i="26"/>
  <c r="Q30" i="26"/>
  <c r="Q31" i="26"/>
  <c r="R55" i="26"/>
  <c r="R30" i="26"/>
  <c r="R31" i="26"/>
  <c r="S55" i="26"/>
  <c r="S30" i="26"/>
  <c r="S31" i="26"/>
  <c r="T55" i="26"/>
  <c r="T30" i="26"/>
  <c r="T31" i="26"/>
  <c r="U55" i="26"/>
  <c r="U31" i="26" s="1"/>
  <c r="U30" i="26"/>
  <c r="U56" i="26"/>
  <c r="U34" i="26" s="1"/>
  <c r="T56" i="26"/>
  <c r="T34" i="26" s="1"/>
  <c r="S56" i="26"/>
  <c r="S34" i="26" s="1"/>
  <c r="R56" i="26"/>
  <c r="R34" i="26" s="1"/>
  <c r="Q56" i="26"/>
  <c r="Q34" i="26" s="1"/>
  <c r="P56" i="26"/>
  <c r="P34" i="26" s="1"/>
  <c r="O56" i="26"/>
  <c r="O34" i="26" s="1"/>
  <c r="N56" i="26"/>
  <c r="N34" i="26" s="1"/>
  <c r="M56" i="26"/>
  <c r="M34" i="26" s="1"/>
  <c r="L56" i="26"/>
  <c r="L34" i="26" s="1"/>
  <c r="K56" i="26"/>
  <c r="K34" i="26" s="1"/>
  <c r="J56" i="26"/>
  <c r="J34" i="26" s="1"/>
  <c r="I56" i="26"/>
  <c r="I34" i="26" s="1"/>
  <c r="H56" i="26"/>
  <c r="H34" i="26" s="1"/>
  <c r="G56" i="26"/>
  <c r="G34" i="26" s="1"/>
  <c r="F56" i="26"/>
  <c r="F34" i="26" s="1"/>
  <c r="E56" i="26"/>
  <c r="E34" i="26" s="1"/>
  <c r="V34" i="26" s="1"/>
  <c r="D50" i="26"/>
  <c r="C30" i="26"/>
  <c r="F55" i="25"/>
  <c r="F30" i="25"/>
  <c r="F31" i="25"/>
  <c r="G55" i="25"/>
  <c r="G30" i="25"/>
  <c r="G31" i="25"/>
  <c r="H55" i="25"/>
  <c r="H30" i="25"/>
  <c r="H31" i="25"/>
  <c r="I55" i="25"/>
  <c r="I30" i="25"/>
  <c r="I31" i="25"/>
  <c r="J55" i="25"/>
  <c r="J30" i="25"/>
  <c r="J31" i="25"/>
  <c r="K55" i="25"/>
  <c r="K30" i="25"/>
  <c r="K31" i="25"/>
  <c r="L55" i="25"/>
  <c r="L30" i="25"/>
  <c r="L31" i="25"/>
  <c r="M55" i="25"/>
  <c r="M30" i="25"/>
  <c r="M31" i="25"/>
  <c r="N55" i="25"/>
  <c r="N30" i="25"/>
  <c r="N31" i="25"/>
  <c r="O55" i="25"/>
  <c r="O30" i="25"/>
  <c r="O31" i="25"/>
  <c r="P55" i="25"/>
  <c r="P30" i="25"/>
  <c r="P31" i="25"/>
  <c r="Q55" i="25"/>
  <c r="Q30" i="25"/>
  <c r="Q31" i="25"/>
  <c r="R55" i="25"/>
  <c r="R30" i="25"/>
  <c r="R31" i="25"/>
  <c r="S55" i="25"/>
  <c r="S30" i="25"/>
  <c r="S31" i="25"/>
  <c r="T55" i="25"/>
  <c r="T30" i="25"/>
  <c r="T31" i="25"/>
  <c r="U55" i="25"/>
  <c r="U31" i="25" s="1"/>
  <c r="U30" i="25"/>
  <c r="U56" i="25"/>
  <c r="U34" i="25" s="1"/>
  <c r="T56" i="25"/>
  <c r="T34" i="25" s="1"/>
  <c r="S56" i="25"/>
  <c r="S34" i="25" s="1"/>
  <c r="R56" i="25"/>
  <c r="R34" i="25" s="1"/>
  <c r="Q56" i="25"/>
  <c r="Q34" i="25" s="1"/>
  <c r="P56" i="25"/>
  <c r="P34" i="25" s="1"/>
  <c r="O56" i="25"/>
  <c r="O34" i="25" s="1"/>
  <c r="N56" i="25"/>
  <c r="N34" i="25" s="1"/>
  <c r="M56" i="25"/>
  <c r="M34" i="25" s="1"/>
  <c r="L56" i="25"/>
  <c r="L34" i="25" s="1"/>
  <c r="K56" i="25"/>
  <c r="K34" i="25" s="1"/>
  <c r="J56" i="25"/>
  <c r="J34" i="25" s="1"/>
  <c r="I56" i="25"/>
  <c r="I34" i="25" s="1"/>
  <c r="H56" i="25"/>
  <c r="H34" i="25" s="1"/>
  <c r="G56" i="25"/>
  <c r="G34" i="25" s="1"/>
  <c r="F56" i="25"/>
  <c r="F34" i="25" s="1"/>
  <c r="E56" i="25"/>
  <c r="E34" i="25" s="1"/>
  <c r="V34" i="25" s="1"/>
  <c r="D50" i="25"/>
  <c r="C30" i="25"/>
  <c r="F55" i="24"/>
  <c r="F30" i="24"/>
  <c r="F31" i="24"/>
  <c r="G55" i="24"/>
  <c r="G30" i="24"/>
  <c r="G31" i="24"/>
  <c r="H55" i="24"/>
  <c r="H30" i="24"/>
  <c r="H31" i="24"/>
  <c r="I55" i="24"/>
  <c r="I30" i="24"/>
  <c r="I31" i="24"/>
  <c r="J55" i="24"/>
  <c r="J30" i="24"/>
  <c r="J31" i="24"/>
  <c r="K55" i="24"/>
  <c r="K30" i="24"/>
  <c r="K31" i="24"/>
  <c r="L55" i="24"/>
  <c r="L30" i="24"/>
  <c r="L31" i="24"/>
  <c r="M55" i="24"/>
  <c r="M30" i="24"/>
  <c r="M31" i="24"/>
  <c r="N55" i="24"/>
  <c r="N30" i="24"/>
  <c r="N31" i="24"/>
  <c r="O55" i="24"/>
  <c r="O30" i="24"/>
  <c r="O31" i="24"/>
  <c r="P55" i="24"/>
  <c r="P30" i="24"/>
  <c r="P31" i="24"/>
  <c r="Q55" i="24"/>
  <c r="Q30" i="24"/>
  <c r="Q31" i="24"/>
  <c r="R55" i="24"/>
  <c r="R30" i="24"/>
  <c r="R31" i="24"/>
  <c r="S55" i="24"/>
  <c r="S30" i="24"/>
  <c r="S31" i="24"/>
  <c r="T55" i="24"/>
  <c r="T30" i="24"/>
  <c r="T31" i="24"/>
  <c r="U55" i="24"/>
  <c r="U31" i="24" s="1"/>
  <c r="U30" i="24"/>
  <c r="U56" i="24"/>
  <c r="U34" i="24" s="1"/>
  <c r="T56" i="24"/>
  <c r="T34" i="24" s="1"/>
  <c r="S56" i="24"/>
  <c r="S34" i="24" s="1"/>
  <c r="R56" i="24"/>
  <c r="R34" i="24" s="1"/>
  <c r="Q56" i="24"/>
  <c r="Q34" i="24" s="1"/>
  <c r="P56" i="24"/>
  <c r="P34" i="24" s="1"/>
  <c r="O56" i="24"/>
  <c r="O34" i="24" s="1"/>
  <c r="N56" i="24"/>
  <c r="N34" i="24" s="1"/>
  <c r="M56" i="24"/>
  <c r="M34" i="24" s="1"/>
  <c r="L56" i="24"/>
  <c r="L34" i="24" s="1"/>
  <c r="K56" i="24"/>
  <c r="K34" i="24" s="1"/>
  <c r="J56" i="24"/>
  <c r="J34" i="24" s="1"/>
  <c r="I56" i="24"/>
  <c r="I34" i="24" s="1"/>
  <c r="H56" i="24"/>
  <c r="H34" i="24" s="1"/>
  <c r="G56" i="24"/>
  <c r="G34" i="24" s="1"/>
  <c r="F56" i="24"/>
  <c r="F34" i="24" s="1"/>
  <c r="E56" i="24"/>
  <c r="E34" i="24" s="1"/>
  <c r="V34" i="24" s="1"/>
  <c r="D50" i="24"/>
  <c r="C30" i="24"/>
  <c r="D55" i="23"/>
  <c r="C55" i="23"/>
  <c r="U52" i="23"/>
  <c r="Q53" i="23"/>
  <c r="Q51" i="23"/>
  <c r="Q52" i="23" s="1"/>
  <c r="Q50" i="23"/>
  <c r="R53" i="23"/>
  <c r="R51" i="23"/>
  <c r="R52" i="23" s="1"/>
  <c r="R50" i="23"/>
  <c r="S53" i="23"/>
  <c r="S51" i="23"/>
  <c r="S52" i="23" s="1"/>
  <c r="S50" i="23"/>
  <c r="T53" i="23"/>
  <c r="T51" i="23"/>
  <c r="T52" i="23" s="1"/>
  <c r="T50" i="23"/>
  <c r="U50" i="23" s="1"/>
  <c r="A51" i="23"/>
  <c r="D51" i="23"/>
  <c r="E51" i="23" s="1"/>
  <c r="C39" i="23"/>
  <c r="C124" i="23" s="1"/>
  <c r="F55" i="22"/>
  <c r="F30" i="22"/>
  <c r="F31" i="22"/>
  <c r="G55" i="22"/>
  <c r="G30" i="22"/>
  <c r="G31" i="22"/>
  <c r="H55" i="22"/>
  <c r="H30" i="22"/>
  <c r="H31" i="22"/>
  <c r="I55" i="22"/>
  <c r="I30" i="22"/>
  <c r="I31" i="22"/>
  <c r="J55" i="22"/>
  <c r="J30" i="22"/>
  <c r="J31" i="22"/>
  <c r="K55" i="22"/>
  <c r="K30" i="22"/>
  <c r="K31" i="22"/>
  <c r="L55" i="22"/>
  <c r="L30" i="22"/>
  <c r="L31" i="22"/>
  <c r="M55" i="22"/>
  <c r="M30" i="22"/>
  <c r="M31" i="22"/>
  <c r="N55" i="22"/>
  <c r="N30" i="22"/>
  <c r="N31" i="22"/>
  <c r="O55" i="22"/>
  <c r="O30" i="22"/>
  <c r="O31" i="22"/>
  <c r="P55" i="22"/>
  <c r="P30" i="22"/>
  <c r="P31" i="22"/>
  <c r="Q55" i="22"/>
  <c r="Q30" i="22"/>
  <c r="Q31" i="22"/>
  <c r="R55" i="22"/>
  <c r="R30" i="22"/>
  <c r="R31" i="22"/>
  <c r="S55" i="22"/>
  <c r="S30" i="22"/>
  <c r="S31" i="22"/>
  <c r="T55" i="22"/>
  <c r="T30" i="22"/>
  <c r="T31" i="22"/>
  <c r="U55" i="22"/>
  <c r="U31" i="22" s="1"/>
  <c r="U30" i="22"/>
  <c r="U56" i="22"/>
  <c r="U34" i="22" s="1"/>
  <c r="T56" i="22"/>
  <c r="T34" i="22" s="1"/>
  <c r="S56" i="22"/>
  <c r="S34" i="22" s="1"/>
  <c r="R56" i="22"/>
  <c r="R34" i="22" s="1"/>
  <c r="Q56" i="22"/>
  <c r="Q34" i="22" s="1"/>
  <c r="P56" i="22"/>
  <c r="P34" i="22" s="1"/>
  <c r="O56" i="22"/>
  <c r="O34" i="22" s="1"/>
  <c r="N56" i="22"/>
  <c r="N34" i="22" s="1"/>
  <c r="M56" i="22"/>
  <c r="M34" i="22" s="1"/>
  <c r="L56" i="22"/>
  <c r="L34" i="22" s="1"/>
  <c r="K56" i="22"/>
  <c r="K34" i="22" s="1"/>
  <c r="J56" i="22"/>
  <c r="J34" i="22" s="1"/>
  <c r="I56" i="22"/>
  <c r="I34" i="22" s="1"/>
  <c r="H56" i="22"/>
  <c r="H34" i="22" s="1"/>
  <c r="G56" i="22"/>
  <c r="G34" i="22" s="1"/>
  <c r="F56" i="22"/>
  <c r="F34" i="22" s="1"/>
  <c r="E56" i="22"/>
  <c r="E34" i="22" s="1"/>
  <c r="V34" i="22" s="1"/>
  <c r="D50" i="22"/>
  <c r="C30" i="22"/>
  <c r="D122" i="22"/>
  <c r="D123" i="22" s="1"/>
  <c r="D55" i="21"/>
  <c r="C55" i="21"/>
  <c r="U52" i="21"/>
  <c r="E51" i="21"/>
  <c r="E52" i="21" s="1"/>
  <c r="Q53" i="21"/>
  <c r="Q51" i="21"/>
  <c r="Q52" i="21" s="1"/>
  <c r="Q50" i="21"/>
  <c r="S53" i="21"/>
  <c r="S51" i="21"/>
  <c r="S52" i="21" s="1"/>
  <c r="S50" i="21"/>
  <c r="F51" i="21"/>
  <c r="R53" i="21"/>
  <c r="R51" i="21"/>
  <c r="R52" i="21" s="1"/>
  <c r="R50" i="21"/>
  <c r="T53" i="21"/>
  <c r="T51" i="21"/>
  <c r="T52" i="21" s="1"/>
  <c r="T50" i="21"/>
  <c r="U50" i="21" s="1"/>
  <c r="D52" i="21"/>
  <c r="D10" i="23"/>
  <c r="B99" i="23"/>
  <c r="C28" i="23" s="1"/>
  <c r="D28" i="23" s="1"/>
  <c r="E28" i="23" s="1"/>
  <c r="F28" i="23" s="1"/>
  <c r="G28" i="23" s="1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T28" i="23" s="1"/>
  <c r="U28" i="23" s="1"/>
  <c r="E65" i="26"/>
  <c r="D65" i="26"/>
  <c r="H65" i="26"/>
  <c r="H64" i="26"/>
  <c r="B99" i="26"/>
  <c r="U26" i="26"/>
  <c r="S26" i="26"/>
  <c r="Q26" i="26"/>
  <c r="O26" i="26"/>
  <c r="R26" i="26"/>
  <c r="N26" i="26"/>
  <c r="L26" i="26"/>
  <c r="J26" i="26"/>
  <c r="H26" i="26"/>
  <c r="T26" i="26"/>
  <c r="P26" i="26"/>
  <c r="M26" i="26"/>
  <c r="K26" i="26"/>
  <c r="I26" i="26"/>
  <c r="G74" i="26"/>
  <c r="B99" i="25"/>
  <c r="C122" i="25" s="1"/>
  <c r="C123" i="25" s="1"/>
  <c r="G74" i="25"/>
  <c r="T26" i="25"/>
  <c r="R26" i="25"/>
  <c r="P26" i="25"/>
  <c r="N26" i="25"/>
  <c r="L26" i="25"/>
  <c r="J26" i="25"/>
  <c r="H26" i="25"/>
  <c r="U26" i="25"/>
  <c r="S26" i="25"/>
  <c r="Q26" i="25"/>
  <c r="O26" i="25"/>
  <c r="M26" i="25"/>
  <c r="K26" i="25"/>
  <c r="I26" i="25"/>
  <c r="B99" i="24"/>
  <c r="C122" i="24" s="1"/>
  <c r="C123" i="24" s="1"/>
  <c r="G74" i="24"/>
  <c r="T26" i="24"/>
  <c r="R26" i="24"/>
  <c r="P26" i="24"/>
  <c r="N26" i="24"/>
  <c r="L26" i="24"/>
  <c r="J26" i="24"/>
  <c r="H26" i="24"/>
  <c r="U26" i="24"/>
  <c r="S26" i="24"/>
  <c r="Q26" i="24"/>
  <c r="O26" i="24"/>
  <c r="M26" i="24"/>
  <c r="K26" i="24"/>
  <c r="I26" i="24"/>
  <c r="H65" i="23"/>
  <c r="D65" i="23"/>
  <c r="C53" i="23" s="1"/>
  <c r="C34" i="23" s="1"/>
  <c r="H64" i="23"/>
  <c r="E65" i="23"/>
  <c r="T26" i="23"/>
  <c r="R26" i="23"/>
  <c r="P26" i="23"/>
  <c r="N26" i="23"/>
  <c r="L26" i="23"/>
  <c r="J26" i="23"/>
  <c r="H26" i="23"/>
  <c r="O26" i="23"/>
  <c r="U26" i="23"/>
  <c r="S26" i="23"/>
  <c r="Q26" i="23"/>
  <c r="M26" i="23"/>
  <c r="K26" i="23"/>
  <c r="I26" i="23"/>
  <c r="G74" i="23"/>
  <c r="C122" i="23"/>
  <c r="C123" i="23" s="1"/>
  <c r="D30" i="21"/>
  <c r="U26" i="21"/>
  <c r="S26" i="21"/>
  <c r="Q26" i="21"/>
  <c r="O26" i="21"/>
  <c r="M26" i="21"/>
  <c r="K26" i="21"/>
  <c r="I26" i="21"/>
  <c r="T26" i="21"/>
  <c r="R26" i="21"/>
  <c r="P26" i="21"/>
  <c r="N26" i="21"/>
  <c r="L26" i="21"/>
  <c r="J26" i="21"/>
  <c r="H26" i="21"/>
  <c r="G74" i="21"/>
  <c r="E65" i="21"/>
  <c r="H65" i="21"/>
  <c r="D65" i="21"/>
  <c r="H64" i="21"/>
  <c r="B99" i="21"/>
  <c r="C28" i="21" s="1"/>
  <c r="C36" i="26" l="1"/>
  <c r="V30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C36" i="25"/>
  <c r="V30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C36" i="24"/>
  <c r="V30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52" i="23"/>
  <c r="F51" i="23"/>
  <c r="D30" i="23"/>
  <c r="D52" i="23"/>
  <c r="D31" i="23" s="1"/>
  <c r="C36" i="22"/>
  <c r="V30" i="22"/>
  <c r="V36" i="22" s="1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V44" i="22"/>
  <c r="E122" i="22"/>
  <c r="E123" i="22" s="1"/>
  <c r="C53" i="21"/>
  <c r="C34" i="21" s="1"/>
  <c r="F52" i="21"/>
  <c r="G51" i="21"/>
  <c r="C122" i="26"/>
  <c r="C123" i="26" s="1"/>
  <c r="I65" i="26"/>
  <c r="D122" i="25"/>
  <c r="D123" i="25" s="1"/>
  <c r="D122" i="24"/>
  <c r="D123" i="24" s="1"/>
  <c r="D122" i="23"/>
  <c r="D123" i="23" s="1"/>
  <c r="I65" i="23"/>
  <c r="C122" i="21"/>
  <c r="C123" i="21" s="1"/>
  <c r="D28" i="21"/>
  <c r="I65" i="21"/>
  <c r="E30" i="21"/>
  <c r="D31" i="21"/>
  <c r="V44" i="26" l="1"/>
  <c r="V36" i="26"/>
  <c r="V44" i="25"/>
  <c r="V36" i="25"/>
  <c r="V44" i="24"/>
  <c r="V36" i="24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D62" i="23" s="1"/>
  <c r="D32" i="23" s="1"/>
  <c r="C60" i="23"/>
  <c r="F52" i="23"/>
  <c r="G51" i="23"/>
  <c r="F122" i="22"/>
  <c r="F123" i="22" s="1"/>
  <c r="G52" i="21"/>
  <c r="H51" i="21"/>
  <c r="D122" i="26"/>
  <c r="D123" i="26" s="1"/>
  <c r="E122" i="25"/>
  <c r="E123" i="25" s="1"/>
  <c r="E122" i="24"/>
  <c r="E123" i="24" s="1"/>
  <c r="E122" i="23"/>
  <c r="E123" i="23" s="1"/>
  <c r="F30" i="21"/>
  <c r="U60" i="21"/>
  <c r="U54" i="21" s="1"/>
  <c r="U55" i="21" s="1"/>
  <c r="S60" i="21"/>
  <c r="S54" i="21" s="1"/>
  <c r="S55" i="21" s="1"/>
  <c r="Q60" i="21"/>
  <c r="O60" i="21"/>
  <c r="M60" i="21"/>
  <c r="K60" i="21"/>
  <c r="I60" i="21"/>
  <c r="I54" i="21" s="1"/>
  <c r="I55" i="21" s="1"/>
  <c r="G60" i="21"/>
  <c r="G54" i="21" s="1"/>
  <c r="G55" i="21" s="1"/>
  <c r="E60" i="21"/>
  <c r="E54" i="21" s="1"/>
  <c r="E55" i="21" s="1"/>
  <c r="C60" i="21"/>
  <c r="T60" i="21"/>
  <c r="T54" i="21" s="1"/>
  <c r="T55" i="21" s="1"/>
  <c r="R60" i="21"/>
  <c r="R54" i="21" s="1"/>
  <c r="R55" i="21" s="1"/>
  <c r="P60" i="21"/>
  <c r="N60" i="21"/>
  <c r="L60" i="21"/>
  <c r="J60" i="21"/>
  <c r="H60" i="21"/>
  <c r="H54" i="21" s="1"/>
  <c r="H55" i="21" s="1"/>
  <c r="F60" i="21"/>
  <c r="F54" i="21" s="1"/>
  <c r="F55" i="21" s="1"/>
  <c r="D60" i="21"/>
  <c r="D62" i="21" s="1"/>
  <c r="D32" i="21" s="1"/>
  <c r="D122" i="21"/>
  <c r="D123" i="21" s="1"/>
  <c r="E28" i="21"/>
  <c r="G52" i="23" l="1"/>
  <c r="H51" i="23"/>
  <c r="D33" i="23"/>
  <c r="E62" i="23"/>
  <c r="E32" i="23" s="1"/>
  <c r="E54" i="23"/>
  <c r="F54" i="23"/>
  <c r="F62" i="23"/>
  <c r="F32" i="23" s="1"/>
  <c r="F33" i="23" s="1"/>
  <c r="G54" i="23"/>
  <c r="G62" i="23"/>
  <c r="G32" i="23" s="1"/>
  <c r="G33" i="23" s="1"/>
  <c r="H54" i="23"/>
  <c r="H55" i="23" s="1"/>
  <c r="H62" i="23"/>
  <c r="H32" i="23" s="1"/>
  <c r="H33" i="23" s="1"/>
  <c r="I54" i="23"/>
  <c r="I55" i="23" s="1"/>
  <c r="I62" i="23"/>
  <c r="I32" i="23" s="1"/>
  <c r="I33" i="23" s="1"/>
  <c r="J62" i="23"/>
  <c r="J32" i="23" s="1"/>
  <c r="J33" i="23" s="1"/>
  <c r="K62" i="23"/>
  <c r="K32" i="23" s="1"/>
  <c r="K33" i="23" s="1"/>
  <c r="L62" i="23"/>
  <c r="L32" i="23" s="1"/>
  <c r="L33" i="23" s="1"/>
  <c r="M62" i="23"/>
  <c r="M32" i="23" s="1"/>
  <c r="M33" i="23" s="1"/>
  <c r="N62" i="23"/>
  <c r="N32" i="23" s="1"/>
  <c r="N33" i="23" s="1"/>
  <c r="O62" i="23"/>
  <c r="O32" i="23" s="1"/>
  <c r="O33" i="23" s="1"/>
  <c r="P62" i="23"/>
  <c r="P32" i="23" s="1"/>
  <c r="P33" i="23" s="1"/>
  <c r="Q62" i="23"/>
  <c r="Q32" i="23" s="1"/>
  <c r="Q33" i="23" s="1"/>
  <c r="R54" i="23"/>
  <c r="R62" i="23"/>
  <c r="R32" i="23" s="1"/>
  <c r="R33" i="23" s="1"/>
  <c r="S54" i="23"/>
  <c r="S62" i="23"/>
  <c r="S32" i="23" s="1"/>
  <c r="S33" i="23" s="1"/>
  <c r="T54" i="23"/>
  <c r="T62" i="23"/>
  <c r="T32" i="23" s="1"/>
  <c r="T33" i="23" s="1"/>
  <c r="U54" i="23"/>
  <c r="U62" i="23"/>
  <c r="U32" i="23" s="1"/>
  <c r="U33" i="23" s="1"/>
  <c r="G122" i="22"/>
  <c r="G123" i="22" s="1"/>
  <c r="H52" i="21"/>
  <c r="I51" i="21"/>
  <c r="J54" i="21" s="1"/>
  <c r="J55" i="21" s="1"/>
  <c r="E122" i="26"/>
  <c r="E123" i="26" s="1"/>
  <c r="F122" i="25"/>
  <c r="F123" i="25" s="1"/>
  <c r="F122" i="24"/>
  <c r="F123" i="24" s="1"/>
  <c r="F122" i="23"/>
  <c r="F123" i="23" s="1"/>
  <c r="E122" i="21"/>
  <c r="E123" i="21" s="1"/>
  <c r="F28" i="21"/>
  <c r="H62" i="21"/>
  <c r="H32" i="21" s="1"/>
  <c r="H33" i="21" s="1"/>
  <c r="L62" i="21"/>
  <c r="L32" i="21" s="1"/>
  <c r="L33" i="21" s="1"/>
  <c r="P62" i="21"/>
  <c r="P32" i="21" s="1"/>
  <c r="P33" i="21" s="1"/>
  <c r="T62" i="21"/>
  <c r="T32" i="21" s="1"/>
  <c r="T33" i="21" s="1"/>
  <c r="E31" i="21"/>
  <c r="E62" i="21"/>
  <c r="E32" i="21" s="1"/>
  <c r="I62" i="21"/>
  <c r="I32" i="21" s="1"/>
  <c r="I33" i="21" s="1"/>
  <c r="M62" i="21"/>
  <c r="M32" i="21" s="1"/>
  <c r="M33" i="21" s="1"/>
  <c r="Q62" i="21"/>
  <c r="Q32" i="21" s="1"/>
  <c r="Q33" i="21" s="1"/>
  <c r="U62" i="21"/>
  <c r="U32" i="21" s="1"/>
  <c r="U33" i="21" s="1"/>
  <c r="G30" i="21"/>
  <c r="F31" i="21"/>
  <c r="F62" i="21"/>
  <c r="F32" i="21" s="1"/>
  <c r="F33" i="21" s="1"/>
  <c r="J62" i="21"/>
  <c r="J32" i="21" s="1"/>
  <c r="J33" i="21" s="1"/>
  <c r="N62" i="21"/>
  <c r="N32" i="21" s="1"/>
  <c r="N33" i="21" s="1"/>
  <c r="R62" i="21"/>
  <c r="R32" i="21" s="1"/>
  <c r="R33" i="21" s="1"/>
  <c r="G62" i="21"/>
  <c r="G32" i="21" s="1"/>
  <c r="G33" i="21" s="1"/>
  <c r="K62" i="21"/>
  <c r="K32" i="21" s="1"/>
  <c r="K33" i="21" s="1"/>
  <c r="O62" i="21"/>
  <c r="O32" i="21" s="1"/>
  <c r="O33" i="21" s="1"/>
  <c r="S62" i="21"/>
  <c r="S32" i="21" s="1"/>
  <c r="S33" i="21" s="1"/>
  <c r="U55" i="23" l="1"/>
  <c r="U31" i="23" s="1"/>
  <c r="U30" i="23"/>
  <c r="T55" i="23"/>
  <c r="T31" i="23" s="1"/>
  <c r="T30" i="23"/>
  <c r="S55" i="23"/>
  <c r="S31" i="23" s="1"/>
  <c r="S30" i="23"/>
  <c r="R55" i="23"/>
  <c r="R31" i="23" s="1"/>
  <c r="R30" i="23"/>
  <c r="G55" i="23"/>
  <c r="G30" i="23"/>
  <c r="F55" i="23"/>
  <c r="F31" i="23" s="1"/>
  <c r="F30" i="23"/>
  <c r="E55" i="23"/>
  <c r="E31" i="23" s="1"/>
  <c r="E30" i="23"/>
  <c r="E33" i="23"/>
  <c r="V32" i="23"/>
  <c r="V33" i="23"/>
  <c r="H52" i="23"/>
  <c r="I51" i="23"/>
  <c r="H30" i="23"/>
  <c r="G31" i="23"/>
  <c r="H122" i="22"/>
  <c r="H123" i="22" s="1"/>
  <c r="I52" i="21"/>
  <c r="J51" i="21"/>
  <c r="K54" i="21" s="1"/>
  <c r="K55" i="21" s="1"/>
  <c r="F122" i="26"/>
  <c r="F123" i="26" s="1"/>
  <c r="G122" i="25"/>
  <c r="G123" i="25" s="1"/>
  <c r="G122" i="24"/>
  <c r="G123" i="24" s="1"/>
  <c r="G122" i="23"/>
  <c r="G123" i="23" s="1"/>
  <c r="V32" i="21"/>
  <c r="U31" i="21"/>
  <c r="U30" i="21"/>
  <c r="F122" i="21"/>
  <c r="F123" i="21" s="1"/>
  <c r="G28" i="21"/>
  <c r="S31" i="21"/>
  <c r="S30" i="21"/>
  <c r="R31" i="21"/>
  <c r="R30" i="21"/>
  <c r="V33" i="21"/>
  <c r="H31" i="21"/>
  <c r="H30" i="21"/>
  <c r="G31" i="21"/>
  <c r="T31" i="21"/>
  <c r="T30" i="21"/>
  <c r="I52" i="23" l="1"/>
  <c r="I31" i="23" s="1"/>
  <c r="J51" i="23"/>
  <c r="I30" i="23"/>
  <c r="J54" i="23"/>
  <c r="J55" i="23" s="1"/>
  <c r="H31" i="23"/>
  <c r="I122" i="22"/>
  <c r="I123" i="22" s="1"/>
  <c r="J52" i="21"/>
  <c r="K51" i="21"/>
  <c r="L54" i="21" s="1"/>
  <c r="L55" i="21" s="1"/>
  <c r="G122" i="26"/>
  <c r="G123" i="26" s="1"/>
  <c r="H122" i="25"/>
  <c r="H123" i="25" s="1"/>
  <c r="H122" i="24"/>
  <c r="H123" i="24" s="1"/>
  <c r="H122" i="23"/>
  <c r="H123" i="23" s="1"/>
  <c r="I30" i="21"/>
  <c r="G122" i="21"/>
  <c r="G123" i="21" s="1"/>
  <c r="H28" i="21"/>
  <c r="J52" i="23" l="1"/>
  <c r="K51" i="23"/>
  <c r="J30" i="23"/>
  <c r="K54" i="23"/>
  <c r="K55" i="23" s="1"/>
  <c r="J122" i="22"/>
  <c r="J123" i="22" s="1"/>
  <c r="W44" i="22"/>
  <c r="K52" i="21"/>
  <c r="L51" i="21"/>
  <c r="M54" i="21" s="1"/>
  <c r="M55" i="21" s="1"/>
  <c r="H122" i="26"/>
  <c r="H123" i="26" s="1"/>
  <c r="I122" i="25"/>
  <c r="I123" i="25" s="1"/>
  <c r="I122" i="24"/>
  <c r="I123" i="24" s="1"/>
  <c r="I122" i="23"/>
  <c r="I123" i="23" s="1"/>
  <c r="H122" i="21"/>
  <c r="H123" i="21" s="1"/>
  <c r="I28" i="21"/>
  <c r="J31" i="21"/>
  <c r="J30" i="21"/>
  <c r="I31" i="21"/>
  <c r="K52" i="23" l="1"/>
  <c r="K31" i="23" s="1"/>
  <c r="L51" i="23"/>
  <c r="K30" i="23"/>
  <c r="L54" i="23"/>
  <c r="L55" i="23" s="1"/>
  <c r="J31" i="23"/>
  <c r="K122" i="22"/>
  <c r="K123" i="22" s="1"/>
  <c r="L52" i="21"/>
  <c r="M51" i="21"/>
  <c r="N54" i="21" s="1"/>
  <c r="N55" i="21" s="1"/>
  <c r="I122" i="26"/>
  <c r="I123" i="26" s="1"/>
  <c r="J122" i="25"/>
  <c r="J123" i="25" s="1"/>
  <c r="J122" i="24"/>
  <c r="J123" i="24" s="1"/>
  <c r="J122" i="23"/>
  <c r="J123" i="23" s="1"/>
  <c r="I122" i="21"/>
  <c r="I123" i="21" s="1"/>
  <c r="J28" i="21"/>
  <c r="K31" i="21"/>
  <c r="K30" i="21"/>
  <c r="L52" i="23" l="1"/>
  <c r="M51" i="23"/>
  <c r="L30" i="23"/>
  <c r="M54" i="23"/>
  <c r="M55" i="23" s="1"/>
  <c r="L122" i="22"/>
  <c r="L123" i="22" s="1"/>
  <c r="M52" i="21"/>
  <c r="N51" i="21"/>
  <c r="J122" i="26"/>
  <c r="J123" i="26" s="1"/>
  <c r="K122" i="25"/>
  <c r="K123" i="25" s="1"/>
  <c r="K122" i="24"/>
  <c r="K123" i="24" s="1"/>
  <c r="K122" i="23"/>
  <c r="K123" i="23" s="1"/>
  <c r="L31" i="21"/>
  <c r="L30" i="21"/>
  <c r="J122" i="21"/>
  <c r="J123" i="21" s="1"/>
  <c r="K28" i="21"/>
  <c r="O54" i="21" l="1"/>
  <c r="O55" i="21" s="1"/>
  <c r="O51" i="21"/>
  <c r="M52" i="23"/>
  <c r="M31" i="23" s="1"/>
  <c r="N51" i="23"/>
  <c r="O51" i="23" s="1"/>
  <c r="M30" i="23"/>
  <c r="N54" i="23"/>
  <c r="N55" i="23" s="1"/>
  <c r="L31" i="23"/>
  <c r="M122" i="22"/>
  <c r="M123" i="22" s="1"/>
  <c r="N52" i="21"/>
  <c r="K122" i="26"/>
  <c r="K123" i="26" s="1"/>
  <c r="L122" i="25"/>
  <c r="L123" i="25" s="1"/>
  <c r="L122" i="24"/>
  <c r="L123" i="24" s="1"/>
  <c r="L122" i="23"/>
  <c r="L123" i="23" s="1"/>
  <c r="K122" i="21"/>
  <c r="K123" i="21" s="1"/>
  <c r="L28" i="21"/>
  <c r="M31" i="21"/>
  <c r="M30" i="21"/>
  <c r="O52" i="21" l="1"/>
  <c r="P51" i="21"/>
  <c r="P54" i="21"/>
  <c r="P55" i="21" s="1"/>
  <c r="O52" i="23"/>
  <c r="P51" i="23"/>
  <c r="P54" i="23"/>
  <c r="P55" i="23" s="1"/>
  <c r="N52" i="23"/>
  <c r="N30" i="23"/>
  <c r="O54" i="23"/>
  <c r="N122" i="22"/>
  <c r="N123" i="22" s="1"/>
  <c r="L122" i="26"/>
  <c r="L123" i="26" s="1"/>
  <c r="M122" i="25"/>
  <c r="M123" i="25" s="1"/>
  <c r="M122" i="24"/>
  <c r="M123" i="24" s="1"/>
  <c r="M122" i="23"/>
  <c r="M123" i="23" s="1"/>
  <c r="N30" i="21"/>
  <c r="L122" i="21"/>
  <c r="L123" i="21" s="1"/>
  <c r="M28" i="21"/>
  <c r="P52" i="21" l="1"/>
  <c r="Q54" i="21"/>
  <c r="P30" i="21"/>
  <c r="P52" i="23"/>
  <c r="P31" i="23" s="1"/>
  <c r="Q54" i="23"/>
  <c r="P30" i="23"/>
  <c r="O55" i="23"/>
  <c r="O31" i="23" s="1"/>
  <c r="O30" i="23"/>
  <c r="N31" i="23"/>
  <c r="O122" i="22"/>
  <c r="O123" i="22" s="1"/>
  <c r="M122" i="26"/>
  <c r="M123" i="26" s="1"/>
  <c r="N122" i="25"/>
  <c r="N123" i="25" s="1"/>
  <c r="N122" i="24"/>
  <c r="N123" i="24" s="1"/>
  <c r="N122" i="23"/>
  <c r="N123" i="23" s="1"/>
  <c r="M122" i="21"/>
  <c r="M123" i="21" s="1"/>
  <c r="N28" i="21"/>
  <c r="O31" i="21"/>
  <c r="O30" i="21"/>
  <c r="N31" i="21"/>
  <c r="Q55" i="21" l="1"/>
  <c r="Q31" i="21" s="1"/>
  <c r="Q30" i="21"/>
  <c r="C51" i="21"/>
  <c r="P31" i="21"/>
  <c r="C52" i="21"/>
  <c r="Q55" i="23"/>
  <c r="Q30" i="23"/>
  <c r="C51" i="23"/>
  <c r="P122" i="22"/>
  <c r="P123" i="22" s="1"/>
  <c r="N122" i="26"/>
  <c r="N123" i="26" s="1"/>
  <c r="O122" i="25"/>
  <c r="O123" i="25" s="1"/>
  <c r="W44" i="25"/>
  <c r="O122" i="24"/>
  <c r="O123" i="24" s="1"/>
  <c r="O122" i="23"/>
  <c r="O123" i="23" s="1"/>
  <c r="C31" i="21"/>
  <c r="V31" i="21" s="1"/>
  <c r="N122" i="21"/>
  <c r="N123" i="21" s="1"/>
  <c r="O28" i="21"/>
  <c r="O50" i="21" l="1"/>
  <c r="O53" i="21" s="1"/>
  <c r="P50" i="21"/>
  <c r="P53" i="21" s="1"/>
  <c r="U56" i="21"/>
  <c r="U34" i="21" s="1"/>
  <c r="U36" i="21" s="1"/>
  <c r="T56" i="21"/>
  <c r="T34" i="21" s="1"/>
  <c r="T36" i="21" s="1"/>
  <c r="S56" i="21"/>
  <c r="S34" i="21" s="1"/>
  <c r="S36" i="21" s="1"/>
  <c r="R56" i="21"/>
  <c r="R34" i="21" s="1"/>
  <c r="R36" i="21" s="1"/>
  <c r="Q56" i="21"/>
  <c r="Q34" i="21" s="1"/>
  <c r="Q36" i="21" s="1"/>
  <c r="P56" i="21"/>
  <c r="O56" i="21"/>
  <c r="N56" i="21"/>
  <c r="M56" i="21"/>
  <c r="L56" i="21"/>
  <c r="K56" i="21"/>
  <c r="J56" i="21"/>
  <c r="I56" i="21"/>
  <c r="H56" i="21"/>
  <c r="G56" i="21"/>
  <c r="F56" i="21"/>
  <c r="E56" i="21"/>
  <c r="H50" i="21"/>
  <c r="H53" i="21" s="1"/>
  <c r="H34" i="21" s="1"/>
  <c r="H36" i="21" s="1"/>
  <c r="G50" i="21"/>
  <c r="G53" i="21" s="1"/>
  <c r="G34" i="21" s="1"/>
  <c r="G36" i="21" s="1"/>
  <c r="F50" i="21"/>
  <c r="F53" i="21" s="1"/>
  <c r="F34" i="21" s="1"/>
  <c r="F36" i="21" s="1"/>
  <c r="E50" i="21"/>
  <c r="E53" i="21" s="1"/>
  <c r="E34" i="21" s="1"/>
  <c r="E36" i="21" s="1"/>
  <c r="I50" i="21"/>
  <c r="I53" i="21" s="1"/>
  <c r="I34" i="21" s="1"/>
  <c r="I36" i="21" s="1"/>
  <c r="K50" i="21"/>
  <c r="K53" i="21" s="1"/>
  <c r="K34" i="21" s="1"/>
  <c r="K36" i="21" s="1"/>
  <c r="M50" i="21"/>
  <c r="M53" i="21" s="1"/>
  <c r="M34" i="21" s="1"/>
  <c r="M36" i="21" s="1"/>
  <c r="J50" i="21"/>
  <c r="J53" i="21" s="1"/>
  <c r="J34" i="21" s="1"/>
  <c r="J36" i="21" s="1"/>
  <c r="L50" i="21"/>
  <c r="L53" i="21" s="1"/>
  <c r="L34" i="21" s="1"/>
  <c r="L36" i="21" s="1"/>
  <c r="N50" i="21"/>
  <c r="N53" i="21" s="1"/>
  <c r="N34" i="21" s="1"/>
  <c r="N36" i="21" s="1"/>
  <c r="D50" i="21"/>
  <c r="D53" i="21" s="1"/>
  <c r="D34" i="21" s="1"/>
  <c r="D36" i="21" s="1"/>
  <c r="C30" i="21"/>
  <c r="V30" i="21" s="1"/>
  <c r="O50" i="23"/>
  <c r="O53" i="23" s="1"/>
  <c r="P50" i="23"/>
  <c r="P53" i="23" s="1"/>
  <c r="E50" i="23"/>
  <c r="E53" i="23" s="1"/>
  <c r="F50" i="23"/>
  <c r="F53" i="23" s="1"/>
  <c r="G50" i="23"/>
  <c r="G53" i="23" s="1"/>
  <c r="H50" i="23"/>
  <c r="H53" i="23" s="1"/>
  <c r="I50" i="23"/>
  <c r="I53" i="23" s="1"/>
  <c r="J50" i="23"/>
  <c r="J53" i="23" s="1"/>
  <c r="K50" i="23"/>
  <c r="K53" i="23" s="1"/>
  <c r="L50" i="23"/>
  <c r="L53" i="23" s="1"/>
  <c r="M50" i="23"/>
  <c r="M53" i="23" s="1"/>
  <c r="N50" i="23"/>
  <c r="N53" i="23" s="1"/>
  <c r="U56" i="23"/>
  <c r="U34" i="23" s="1"/>
  <c r="U36" i="23" s="1"/>
  <c r="T56" i="23"/>
  <c r="T34" i="23" s="1"/>
  <c r="T36" i="23" s="1"/>
  <c r="S56" i="23"/>
  <c r="S34" i="23" s="1"/>
  <c r="S36" i="23" s="1"/>
  <c r="R56" i="23"/>
  <c r="R34" i="23" s="1"/>
  <c r="R36" i="23" s="1"/>
  <c r="Q56" i="23"/>
  <c r="Q34" i="23" s="1"/>
  <c r="P56" i="23"/>
  <c r="P34" i="23" s="1"/>
  <c r="P36" i="23" s="1"/>
  <c r="O56" i="23"/>
  <c r="O34" i="23" s="1"/>
  <c r="O36" i="23" s="1"/>
  <c r="N56" i="23"/>
  <c r="N34" i="23" s="1"/>
  <c r="N36" i="23" s="1"/>
  <c r="M56" i="23"/>
  <c r="M34" i="23" s="1"/>
  <c r="M36" i="23" s="1"/>
  <c r="L56" i="23"/>
  <c r="L34" i="23" s="1"/>
  <c r="L36" i="23" s="1"/>
  <c r="K56" i="23"/>
  <c r="K34" i="23" s="1"/>
  <c r="K36" i="23" s="1"/>
  <c r="J56" i="23"/>
  <c r="J34" i="23" s="1"/>
  <c r="J36" i="23" s="1"/>
  <c r="I56" i="23"/>
  <c r="I34" i="23" s="1"/>
  <c r="I36" i="23" s="1"/>
  <c r="H56" i="23"/>
  <c r="H34" i="23" s="1"/>
  <c r="H36" i="23" s="1"/>
  <c r="G56" i="23"/>
  <c r="G34" i="23" s="1"/>
  <c r="G36" i="23" s="1"/>
  <c r="F56" i="23"/>
  <c r="F34" i="23" s="1"/>
  <c r="F36" i="23" s="1"/>
  <c r="E56" i="23"/>
  <c r="E34" i="23" s="1"/>
  <c r="E36" i="23" s="1"/>
  <c r="D50" i="23"/>
  <c r="D53" i="23" s="1"/>
  <c r="D34" i="23" s="1"/>
  <c r="C30" i="23"/>
  <c r="Q31" i="23"/>
  <c r="C52" i="23"/>
  <c r="C31" i="23" s="1"/>
  <c r="V31" i="23" s="1"/>
  <c r="Q122" i="22"/>
  <c r="Q123" i="22" s="1"/>
  <c r="C36" i="21"/>
  <c r="O122" i="26"/>
  <c r="O123" i="26" s="1"/>
  <c r="P122" i="25"/>
  <c r="P123" i="25" s="1"/>
  <c r="P122" i="24"/>
  <c r="P123" i="24" s="1"/>
  <c r="P122" i="23"/>
  <c r="P123" i="23" s="1"/>
  <c r="V44" i="21"/>
  <c r="W44" i="21" s="1"/>
  <c r="O122" i="21"/>
  <c r="O123" i="21" s="1"/>
  <c r="P28" i="21"/>
  <c r="P34" i="21" l="1"/>
  <c r="P36" i="21" s="1"/>
  <c r="O34" i="21"/>
  <c r="C36" i="23"/>
  <c r="V30" i="23"/>
  <c r="D36" i="23"/>
  <c r="V34" i="23"/>
  <c r="Q36" i="23"/>
  <c r="R122" i="22"/>
  <c r="R123" i="22" s="1"/>
  <c r="W44" i="26"/>
  <c r="P122" i="26"/>
  <c r="P123" i="26" s="1"/>
  <c r="Q122" i="25"/>
  <c r="Q123" i="25" s="1"/>
  <c r="W44" i="24"/>
  <c r="Q122" i="24"/>
  <c r="Q123" i="24" s="1"/>
  <c r="Q122" i="23"/>
  <c r="Q123" i="23" s="1"/>
  <c r="P122" i="21"/>
  <c r="P123" i="21" s="1"/>
  <c r="Q28" i="21"/>
  <c r="Q13" i="5"/>
  <c r="Q12" i="5" s="1"/>
  <c r="O13" i="5"/>
  <c r="O12" i="5" s="1"/>
  <c r="M13" i="5"/>
  <c r="M12" i="5" s="1"/>
  <c r="K13" i="5"/>
  <c r="K12" i="5" s="1"/>
  <c r="I13" i="5"/>
  <c r="I12" i="5" s="1"/>
  <c r="G13" i="5"/>
  <c r="G12" i="5" s="1"/>
  <c r="O36" i="21" l="1"/>
  <c r="V34" i="21"/>
  <c r="V36" i="21" s="1"/>
  <c r="V44" i="23"/>
  <c r="V36" i="23"/>
  <c r="S122" i="22"/>
  <c r="S123" i="22" s="1"/>
  <c r="Q122" i="26"/>
  <c r="Q123" i="26" s="1"/>
  <c r="R122" i="25"/>
  <c r="R123" i="25" s="1"/>
  <c r="R122" i="24"/>
  <c r="R123" i="24" s="1"/>
  <c r="R122" i="23"/>
  <c r="R123" i="23" s="1"/>
  <c r="Q122" i="21"/>
  <c r="Q123" i="21" s="1"/>
  <c r="R28" i="21"/>
  <c r="B471" i="20"/>
  <c r="B388" i="20"/>
  <c r="C387" i="20"/>
  <c r="B387" i="20"/>
  <c r="B376" i="20"/>
  <c r="C375" i="20"/>
  <c r="B375" i="20"/>
  <c r="B364" i="20"/>
  <c r="C363" i="20"/>
  <c r="B363" i="20"/>
  <c r="B352" i="20"/>
  <c r="C351" i="20"/>
  <c r="B351" i="20"/>
  <c r="B340" i="20"/>
  <c r="C339" i="20"/>
  <c r="B339" i="20"/>
  <c r="B328" i="20"/>
  <c r="C327" i="20"/>
  <c r="B327" i="20"/>
  <c r="B316" i="20"/>
  <c r="C315" i="20"/>
  <c r="B315" i="20"/>
  <c r="B304" i="20"/>
  <c r="C303" i="20"/>
  <c r="B303" i="20"/>
  <c r="B291" i="20"/>
  <c r="AB19" i="20"/>
  <c r="AB18" i="20"/>
  <c r="AB17" i="20"/>
  <c r="AB16" i="20"/>
  <c r="AB15" i="20"/>
  <c r="AB14" i="20"/>
  <c r="AB13" i="20"/>
  <c r="S374" i="20" s="1"/>
  <c r="T374" i="20" s="1"/>
  <c r="Z7" i="20"/>
  <c r="Z6" i="20"/>
  <c r="Z5" i="20"/>
  <c r="L147" i="20"/>
  <c r="M147" i="20" s="1"/>
  <c r="L146" i="20"/>
  <c r="M146" i="20" s="1"/>
  <c r="L145" i="20"/>
  <c r="M145" i="20" s="1"/>
  <c r="L144" i="20"/>
  <c r="M144" i="20" s="1"/>
  <c r="L143" i="20"/>
  <c r="M143" i="20" s="1"/>
  <c r="L142" i="20"/>
  <c r="M142" i="20" s="1"/>
  <c r="L141" i="20"/>
  <c r="M141" i="20" s="1"/>
  <c r="L140" i="20"/>
  <c r="M140" i="20" s="1"/>
  <c r="L139" i="20"/>
  <c r="M139" i="20" s="1"/>
  <c r="L138" i="20"/>
  <c r="M138" i="20" s="1"/>
  <c r="L137" i="20"/>
  <c r="M137" i="20" s="1"/>
  <c r="L136" i="20"/>
  <c r="M136" i="20" s="1"/>
  <c r="L135" i="20"/>
  <c r="M135" i="20" s="1"/>
  <c r="L134" i="20"/>
  <c r="M134" i="20" s="1"/>
  <c r="L133" i="20"/>
  <c r="M133" i="20" s="1"/>
  <c r="L132" i="20"/>
  <c r="M132" i="20" s="1"/>
  <c r="L131" i="20"/>
  <c r="M131" i="20" s="1"/>
  <c r="L130" i="20"/>
  <c r="M130" i="20" s="1"/>
  <c r="L129" i="20"/>
  <c r="M129" i="20" s="1"/>
  <c r="L128" i="20"/>
  <c r="M128" i="20" s="1"/>
  <c r="P127" i="20"/>
  <c r="Q127" i="20" s="1"/>
  <c r="L127" i="20"/>
  <c r="M127" i="20" s="1"/>
  <c r="P126" i="20"/>
  <c r="Q126" i="20" s="1"/>
  <c r="L126" i="20"/>
  <c r="M126" i="20" s="1"/>
  <c r="P125" i="20"/>
  <c r="Q125" i="20" s="1"/>
  <c r="L125" i="20"/>
  <c r="M125" i="20" s="1"/>
  <c r="P124" i="20"/>
  <c r="Q124" i="20" s="1"/>
  <c r="N124" i="20"/>
  <c r="O124" i="20" s="1"/>
  <c r="L124" i="20"/>
  <c r="M124" i="20" s="1"/>
  <c r="P123" i="20"/>
  <c r="Q123" i="20" s="1"/>
  <c r="N123" i="20"/>
  <c r="O123" i="20" s="1"/>
  <c r="L123" i="20"/>
  <c r="M123" i="20" s="1"/>
  <c r="P122" i="20"/>
  <c r="Q122" i="20" s="1"/>
  <c r="N122" i="20"/>
  <c r="O122" i="20" s="1"/>
  <c r="L122" i="20"/>
  <c r="M122" i="20" s="1"/>
  <c r="P121" i="20"/>
  <c r="Q121" i="20" s="1"/>
  <c r="N121" i="20"/>
  <c r="O121" i="20" s="1"/>
  <c r="L121" i="20"/>
  <c r="M121" i="20" s="1"/>
  <c r="P120" i="20"/>
  <c r="Q120" i="20" s="1"/>
  <c r="N120" i="20"/>
  <c r="O120" i="20" s="1"/>
  <c r="L120" i="20"/>
  <c r="M120" i="20" s="1"/>
  <c r="P119" i="20"/>
  <c r="Q119" i="20" s="1"/>
  <c r="N119" i="20"/>
  <c r="O119" i="20" s="1"/>
  <c r="L119" i="20"/>
  <c r="M119" i="20" s="1"/>
  <c r="P118" i="20"/>
  <c r="Q118" i="20" s="1"/>
  <c r="N118" i="20"/>
  <c r="O118" i="20" s="1"/>
  <c r="L118" i="20"/>
  <c r="M118" i="20" s="1"/>
  <c r="P117" i="20"/>
  <c r="Q117" i="20" s="1"/>
  <c r="N117" i="20"/>
  <c r="O117" i="20" s="1"/>
  <c r="L117" i="20"/>
  <c r="M117" i="20" s="1"/>
  <c r="P116" i="20"/>
  <c r="Q116" i="20" s="1"/>
  <c r="N116" i="20"/>
  <c r="O116" i="20" s="1"/>
  <c r="L116" i="20"/>
  <c r="M116" i="20" s="1"/>
  <c r="P115" i="20"/>
  <c r="Q115" i="20" s="1"/>
  <c r="N115" i="20"/>
  <c r="O115" i="20" s="1"/>
  <c r="L115" i="20"/>
  <c r="M115" i="20" s="1"/>
  <c r="P114" i="20"/>
  <c r="Q114" i="20" s="1"/>
  <c r="N114" i="20"/>
  <c r="O114" i="20" s="1"/>
  <c r="L114" i="20"/>
  <c r="M114" i="20" s="1"/>
  <c r="P113" i="20"/>
  <c r="Q113" i="20" s="1"/>
  <c r="N113" i="20"/>
  <c r="O113" i="20" s="1"/>
  <c r="L113" i="20"/>
  <c r="M113" i="20" s="1"/>
  <c r="P112" i="20"/>
  <c r="Q112" i="20" s="1"/>
  <c r="N112" i="20"/>
  <c r="O112" i="20" s="1"/>
  <c r="L112" i="20"/>
  <c r="M112" i="20" s="1"/>
  <c r="P111" i="20"/>
  <c r="Q111" i="20" s="1"/>
  <c r="N111" i="20"/>
  <c r="O111" i="20" s="1"/>
  <c r="L111" i="20"/>
  <c r="M111" i="20" s="1"/>
  <c r="P110" i="20"/>
  <c r="Q110" i="20" s="1"/>
  <c r="N110" i="20"/>
  <c r="O110" i="20" s="1"/>
  <c r="L110" i="20"/>
  <c r="M110" i="20" s="1"/>
  <c r="P109" i="20"/>
  <c r="Q109" i="20" s="1"/>
  <c r="N109" i="20"/>
  <c r="O109" i="20" s="1"/>
  <c r="L109" i="20"/>
  <c r="M109" i="20" s="1"/>
  <c r="P108" i="20"/>
  <c r="Q108" i="20" s="1"/>
  <c r="N108" i="20"/>
  <c r="O108" i="20" s="1"/>
  <c r="L108" i="20"/>
  <c r="M108" i="20" s="1"/>
  <c r="P107" i="20"/>
  <c r="Q107" i="20" s="1"/>
  <c r="N107" i="20"/>
  <c r="O107" i="20" s="1"/>
  <c r="L107" i="20"/>
  <c r="M107" i="20" s="1"/>
  <c r="P106" i="20"/>
  <c r="Q106" i="20" s="1"/>
  <c r="N106" i="20"/>
  <c r="O106" i="20" s="1"/>
  <c r="L106" i="20"/>
  <c r="M106" i="20" s="1"/>
  <c r="P105" i="20"/>
  <c r="Q105" i="20" s="1"/>
  <c r="N105" i="20"/>
  <c r="O105" i="20" s="1"/>
  <c r="L105" i="20"/>
  <c r="M105" i="20" s="1"/>
  <c r="P104" i="20"/>
  <c r="Q104" i="20" s="1"/>
  <c r="N104" i="20"/>
  <c r="O104" i="20" s="1"/>
  <c r="L104" i="20"/>
  <c r="M104" i="20" s="1"/>
  <c r="P103" i="20"/>
  <c r="Q103" i="20" s="1"/>
  <c r="N103" i="20"/>
  <c r="O103" i="20" s="1"/>
  <c r="L103" i="20"/>
  <c r="M103" i="20" s="1"/>
  <c r="P102" i="20"/>
  <c r="Q102" i="20" s="1"/>
  <c r="N102" i="20"/>
  <c r="O102" i="20" s="1"/>
  <c r="L102" i="20"/>
  <c r="M102" i="20" s="1"/>
  <c r="P101" i="20"/>
  <c r="Q101" i="20" s="1"/>
  <c r="N101" i="20"/>
  <c r="O101" i="20" s="1"/>
  <c r="L101" i="20"/>
  <c r="M101" i="20" s="1"/>
  <c r="P100" i="20"/>
  <c r="Q100" i="20" s="1"/>
  <c r="N100" i="20"/>
  <c r="O100" i="20" s="1"/>
  <c r="L100" i="20"/>
  <c r="M100" i="20" s="1"/>
  <c r="P99" i="20"/>
  <c r="Q99" i="20" s="1"/>
  <c r="N99" i="20"/>
  <c r="O99" i="20" s="1"/>
  <c r="L99" i="20"/>
  <c r="M99" i="20" s="1"/>
  <c r="P98" i="20"/>
  <c r="Q98" i="20" s="1"/>
  <c r="N98" i="20"/>
  <c r="O98" i="20" s="1"/>
  <c r="L98" i="20"/>
  <c r="M98" i="20" s="1"/>
  <c r="P97" i="20"/>
  <c r="Q97" i="20" s="1"/>
  <c r="N97" i="20"/>
  <c r="O97" i="20" s="1"/>
  <c r="L97" i="20"/>
  <c r="M97" i="20" s="1"/>
  <c r="P96" i="20"/>
  <c r="Q96" i="20" s="1"/>
  <c r="N96" i="20"/>
  <c r="O96" i="20" s="1"/>
  <c r="L96" i="20"/>
  <c r="M96" i="20" s="1"/>
  <c r="P95" i="20"/>
  <c r="Q95" i="20" s="1"/>
  <c r="N95" i="20"/>
  <c r="O95" i="20" s="1"/>
  <c r="L95" i="20"/>
  <c r="M95" i="20" s="1"/>
  <c r="P94" i="20"/>
  <c r="Q94" i="20" s="1"/>
  <c r="N94" i="20"/>
  <c r="O94" i="20" s="1"/>
  <c r="L94" i="20"/>
  <c r="M94" i="20" s="1"/>
  <c r="P93" i="20"/>
  <c r="Q93" i="20" s="1"/>
  <c r="N93" i="20"/>
  <c r="O93" i="20" s="1"/>
  <c r="L93" i="20"/>
  <c r="M93" i="20" s="1"/>
  <c r="P92" i="20"/>
  <c r="Q92" i="20" s="1"/>
  <c r="N92" i="20"/>
  <c r="O92" i="20" s="1"/>
  <c r="L92" i="20"/>
  <c r="M92" i="20" s="1"/>
  <c r="P91" i="20"/>
  <c r="Q91" i="20" s="1"/>
  <c r="N91" i="20"/>
  <c r="O91" i="20" s="1"/>
  <c r="L91" i="20"/>
  <c r="M91" i="20" s="1"/>
  <c r="P90" i="20"/>
  <c r="Q90" i="20" s="1"/>
  <c r="N90" i="20"/>
  <c r="O90" i="20" s="1"/>
  <c r="L90" i="20"/>
  <c r="M90" i="20" s="1"/>
  <c r="P89" i="20"/>
  <c r="Q89" i="20" s="1"/>
  <c r="N89" i="20"/>
  <c r="O89" i="20" s="1"/>
  <c r="L89" i="20"/>
  <c r="M89" i="20" s="1"/>
  <c r="P88" i="20"/>
  <c r="Q88" i="20" s="1"/>
  <c r="N88" i="20"/>
  <c r="O88" i="20" s="1"/>
  <c r="L88" i="20"/>
  <c r="M88" i="20" s="1"/>
  <c r="P87" i="20"/>
  <c r="Q87" i="20" s="1"/>
  <c r="N87" i="20"/>
  <c r="O87" i="20" s="1"/>
  <c r="L87" i="20"/>
  <c r="M87" i="20" s="1"/>
  <c r="P86" i="20"/>
  <c r="Q86" i="20" s="1"/>
  <c r="N86" i="20"/>
  <c r="O86" i="20" s="1"/>
  <c r="L86" i="20"/>
  <c r="M86" i="20" s="1"/>
  <c r="P85" i="20"/>
  <c r="Q85" i="20" s="1"/>
  <c r="N85" i="20"/>
  <c r="O85" i="20" s="1"/>
  <c r="L85" i="20"/>
  <c r="M85" i="20" s="1"/>
  <c r="P84" i="20"/>
  <c r="Q84" i="20" s="1"/>
  <c r="N84" i="20"/>
  <c r="O84" i="20" s="1"/>
  <c r="L84" i="20"/>
  <c r="M84" i="20" s="1"/>
  <c r="P83" i="20"/>
  <c r="Q83" i="20" s="1"/>
  <c r="N83" i="20"/>
  <c r="O83" i="20" s="1"/>
  <c r="L83" i="20"/>
  <c r="M83" i="20" s="1"/>
  <c r="P82" i="20"/>
  <c r="Q82" i="20" s="1"/>
  <c r="N82" i="20"/>
  <c r="O82" i="20" s="1"/>
  <c r="L82" i="20"/>
  <c r="M82" i="20" s="1"/>
  <c r="P81" i="20"/>
  <c r="Q81" i="20" s="1"/>
  <c r="N81" i="20"/>
  <c r="O81" i="20" s="1"/>
  <c r="L81" i="20"/>
  <c r="M81" i="20" s="1"/>
  <c r="P80" i="20"/>
  <c r="Q80" i="20" s="1"/>
  <c r="N80" i="20"/>
  <c r="O80" i="20" s="1"/>
  <c r="L80" i="20"/>
  <c r="M80" i="20" s="1"/>
  <c r="P79" i="20"/>
  <c r="Q79" i="20" s="1"/>
  <c r="N79" i="20"/>
  <c r="O79" i="20" s="1"/>
  <c r="L79" i="20"/>
  <c r="M79" i="20" s="1"/>
  <c r="P78" i="20"/>
  <c r="Q78" i="20" s="1"/>
  <c r="N78" i="20"/>
  <c r="O78" i="20" s="1"/>
  <c r="L78" i="20"/>
  <c r="M78" i="20" s="1"/>
  <c r="P77" i="20"/>
  <c r="Q77" i="20" s="1"/>
  <c r="N77" i="20"/>
  <c r="O77" i="20" s="1"/>
  <c r="L77" i="20"/>
  <c r="M77" i="20" s="1"/>
  <c r="P76" i="20"/>
  <c r="Q76" i="20" s="1"/>
  <c r="N76" i="20"/>
  <c r="O76" i="20" s="1"/>
  <c r="L76" i="20"/>
  <c r="M76" i="20" s="1"/>
  <c r="P75" i="20"/>
  <c r="Q75" i="20" s="1"/>
  <c r="N75" i="20"/>
  <c r="O75" i="20" s="1"/>
  <c r="L75" i="20"/>
  <c r="M75" i="20" s="1"/>
  <c r="P74" i="20"/>
  <c r="Q74" i="20" s="1"/>
  <c r="N74" i="20"/>
  <c r="O74" i="20" s="1"/>
  <c r="L74" i="20"/>
  <c r="M74" i="20" s="1"/>
  <c r="J74" i="20"/>
  <c r="K74" i="20" s="1"/>
  <c r="P73" i="20"/>
  <c r="Q73" i="20" s="1"/>
  <c r="N73" i="20"/>
  <c r="O73" i="20" s="1"/>
  <c r="L73" i="20"/>
  <c r="M73" i="20" s="1"/>
  <c r="J73" i="20"/>
  <c r="K73" i="20" s="1"/>
  <c r="H73" i="20"/>
  <c r="I73" i="20" s="1"/>
  <c r="P72" i="20"/>
  <c r="Q72" i="20" s="1"/>
  <c r="N72" i="20"/>
  <c r="O72" i="20" s="1"/>
  <c r="L72" i="20"/>
  <c r="M72" i="20" s="1"/>
  <c r="J72" i="20"/>
  <c r="K72" i="20" s="1"/>
  <c r="H72" i="20"/>
  <c r="I72" i="20" s="1"/>
  <c r="P71" i="20"/>
  <c r="Q71" i="20" s="1"/>
  <c r="N71" i="20"/>
  <c r="O71" i="20" s="1"/>
  <c r="L71" i="20"/>
  <c r="M71" i="20" s="1"/>
  <c r="J71" i="20"/>
  <c r="K71" i="20" s="1"/>
  <c r="H71" i="20"/>
  <c r="I71" i="20" s="1"/>
  <c r="P70" i="20"/>
  <c r="Q70" i="20" s="1"/>
  <c r="N70" i="20"/>
  <c r="O70" i="20" s="1"/>
  <c r="L70" i="20"/>
  <c r="M70" i="20" s="1"/>
  <c r="J70" i="20"/>
  <c r="K70" i="20" s="1"/>
  <c r="H70" i="20"/>
  <c r="I70" i="20" s="1"/>
  <c r="P69" i="20"/>
  <c r="Q69" i="20" s="1"/>
  <c r="N69" i="20"/>
  <c r="O69" i="20" s="1"/>
  <c r="L69" i="20"/>
  <c r="M69" i="20" s="1"/>
  <c r="J69" i="20"/>
  <c r="K69" i="20" s="1"/>
  <c r="H69" i="20"/>
  <c r="I69" i="20" s="1"/>
  <c r="P68" i="20"/>
  <c r="Q68" i="20" s="1"/>
  <c r="N68" i="20"/>
  <c r="O68" i="20" s="1"/>
  <c r="L68" i="20"/>
  <c r="M68" i="20" s="1"/>
  <c r="J68" i="20"/>
  <c r="K68" i="20" s="1"/>
  <c r="H68" i="20"/>
  <c r="I68" i="20" s="1"/>
  <c r="P67" i="20"/>
  <c r="Q67" i="20" s="1"/>
  <c r="N67" i="20"/>
  <c r="O67" i="20" s="1"/>
  <c r="L67" i="20"/>
  <c r="M67" i="20" s="1"/>
  <c r="J67" i="20"/>
  <c r="K67" i="20" s="1"/>
  <c r="H67" i="20"/>
  <c r="I67" i="20" s="1"/>
  <c r="P66" i="20"/>
  <c r="Q66" i="20" s="1"/>
  <c r="N66" i="20"/>
  <c r="O66" i="20" s="1"/>
  <c r="L66" i="20"/>
  <c r="M66" i="20" s="1"/>
  <c r="J66" i="20"/>
  <c r="K66" i="20" s="1"/>
  <c r="H66" i="20"/>
  <c r="I66" i="20" s="1"/>
  <c r="P65" i="20"/>
  <c r="Q65" i="20" s="1"/>
  <c r="N65" i="20"/>
  <c r="O65" i="20" s="1"/>
  <c r="L65" i="20"/>
  <c r="M65" i="20" s="1"/>
  <c r="J65" i="20"/>
  <c r="K65" i="20" s="1"/>
  <c r="H65" i="20"/>
  <c r="I65" i="20" s="1"/>
  <c r="P64" i="20"/>
  <c r="Q64" i="20" s="1"/>
  <c r="N64" i="20"/>
  <c r="O64" i="20" s="1"/>
  <c r="L64" i="20"/>
  <c r="M64" i="20" s="1"/>
  <c r="J64" i="20"/>
  <c r="K64" i="20" s="1"/>
  <c r="H64" i="20"/>
  <c r="I64" i="20" s="1"/>
  <c r="P63" i="20"/>
  <c r="Q63" i="20" s="1"/>
  <c r="N63" i="20"/>
  <c r="O63" i="20" s="1"/>
  <c r="L63" i="20"/>
  <c r="M63" i="20" s="1"/>
  <c r="J63" i="20"/>
  <c r="K63" i="20" s="1"/>
  <c r="H63" i="20"/>
  <c r="I63" i="20" s="1"/>
  <c r="P62" i="20"/>
  <c r="Q62" i="20" s="1"/>
  <c r="N62" i="20"/>
  <c r="O62" i="20" s="1"/>
  <c r="L62" i="20"/>
  <c r="M62" i="20" s="1"/>
  <c r="J62" i="20"/>
  <c r="K62" i="20" s="1"/>
  <c r="H62" i="20"/>
  <c r="I62" i="20" s="1"/>
  <c r="P61" i="20"/>
  <c r="Q61" i="20" s="1"/>
  <c r="N61" i="20"/>
  <c r="O61" i="20" s="1"/>
  <c r="L61" i="20"/>
  <c r="M61" i="20" s="1"/>
  <c r="J61" i="20"/>
  <c r="K61" i="20" s="1"/>
  <c r="H61" i="20"/>
  <c r="I61" i="20" s="1"/>
  <c r="P60" i="20"/>
  <c r="Q60" i="20" s="1"/>
  <c r="N60" i="20"/>
  <c r="O60" i="20" s="1"/>
  <c r="L60" i="20"/>
  <c r="M60" i="20" s="1"/>
  <c r="J60" i="20"/>
  <c r="K60" i="20" s="1"/>
  <c r="H60" i="20"/>
  <c r="I60" i="20" s="1"/>
  <c r="P59" i="20"/>
  <c r="Q59" i="20" s="1"/>
  <c r="N59" i="20"/>
  <c r="O59" i="20" s="1"/>
  <c r="L59" i="20"/>
  <c r="M59" i="20" s="1"/>
  <c r="J59" i="20"/>
  <c r="K59" i="20" s="1"/>
  <c r="H59" i="20"/>
  <c r="I59" i="20" s="1"/>
  <c r="P58" i="20"/>
  <c r="Q58" i="20" s="1"/>
  <c r="N58" i="20"/>
  <c r="O58" i="20" s="1"/>
  <c r="L58" i="20"/>
  <c r="M58" i="20" s="1"/>
  <c r="J58" i="20"/>
  <c r="K58" i="20" s="1"/>
  <c r="H58" i="20"/>
  <c r="I58" i="20" s="1"/>
  <c r="P57" i="20"/>
  <c r="Q57" i="20" s="1"/>
  <c r="N57" i="20"/>
  <c r="O57" i="20" s="1"/>
  <c r="L57" i="20"/>
  <c r="M57" i="20" s="1"/>
  <c r="J57" i="20"/>
  <c r="K57" i="20" s="1"/>
  <c r="H57" i="20"/>
  <c r="I57" i="20" s="1"/>
  <c r="P56" i="20"/>
  <c r="Q56" i="20" s="1"/>
  <c r="N56" i="20"/>
  <c r="O56" i="20" s="1"/>
  <c r="L56" i="20"/>
  <c r="M56" i="20" s="1"/>
  <c r="J56" i="20"/>
  <c r="K56" i="20" s="1"/>
  <c r="H56" i="20"/>
  <c r="I56" i="20" s="1"/>
  <c r="P55" i="20"/>
  <c r="Q55" i="20" s="1"/>
  <c r="N55" i="20"/>
  <c r="O55" i="20" s="1"/>
  <c r="L55" i="20"/>
  <c r="M55" i="20" s="1"/>
  <c r="J55" i="20"/>
  <c r="K55" i="20" s="1"/>
  <c r="H55" i="20"/>
  <c r="I55" i="20" s="1"/>
  <c r="P54" i="20"/>
  <c r="Q54" i="20" s="1"/>
  <c r="N54" i="20"/>
  <c r="O54" i="20" s="1"/>
  <c r="L54" i="20"/>
  <c r="M54" i="20" s="1"/>
  <c r="J54" i="20"/>
  <c r="K54" i="20" s="1"/>
  <c r="H54" i="20"/>
  <c r="I54" i="20" s="1"/>
  <c r="P53" i="20"/>
  <c r="Q53" i="20" s="1"/>
  <c r="N53" i="20"/>
  <c r="O53" i="20" s="1"/>
  <c r="L53" i="20"/>
  <c r="M53" i="20" s="1"/>
  <c r="J53" i="20"/>
  <c r="K53" i="20" s="1"/>
  <c r="H53" i="20"/>
  <c r="I53" i="20" s="1"/>
  <c r="P52" i="20"/>
  <c r="Q52" i="20" s="1"/>
  <c r="N52" i="20"/>
  <c r="O52" i="20" s="1"/>
  <c r="L52" i="20"/>
  <c r="M52" i="20" s="1"/>
  <c r="J52" i="20"/>
  <c r="K52" i="20" s="1"/>
  <c r="H52" i="20"/>
  <c r="I52" i="20" s="1"/>
  <c r="P51" i="20"/>
  <c r="Q51" i="20" s="1"/>
  <c r="N51" i="20"/>
  <c r="O51" i="20" s="1"/>
  <c r="L51" i="20"/>
  <c r="M51" i="20" s="1"/>
  <c r="J51" i="20"/>
  <c r="K51" i="20" s="1"/>
  <c r="H51" i="20"/>
  <c r="I51" i="20" s="1"/>
  <c r="P50" i="20"/>
  <c r="Q50" i="20" s="1"/>
  <c r="N50" i="20"/>
  <c r="O50" i="20" s="1"/>
  <c r="L50" i="20"/>
  <c r="M50" i="20" s="1"/>
  <c r="J50" i="20"/>
  <c r="K50" i="20" s="1"/>
  <c r="H50" i="20"/>
  <c r="I50" i="20" s="1"/>
  <c r="P49" i="20"/>
  <c r="Q49" i="20" s="1"/>
  <c r="N49" i="20"/>
  <c r="O49" i="20" s="1"/>
  <c r="L49" i="20"/>
  <c r="M49" i="20" s="1"/>
  <c r="J49" i="20"/>
  <c r="K49" i="20" s="1"/>
  <c r="H49" i="20"/>
  <c r="I49" i="20" s="1"/>
  <c r="P48" i="20"/>
  <c r="Q48" i="20" s="1"/>
  <c r="N48" i="20"/>
  <c r="O48" i="20" s="1"/>
  <c r="L48" i="20"/>
  <c r="M48" i="20" s="1"/>
  <c r="J48" i="20"/>
  <c r="K48" i="20" s="1"/>
  <c r="H48" i="20"/>
  <c r="I48" i="20" s="1"/>
  <c r="P47" i="20"/>
  <c r="Q47" i="20" s="1"/>
  <c r="N47" i="20"/>
  <c r="O47" i="20" s="1"/>
  <c r="L47" i="20"/>
  <c r="M47" i="20" s="1"/>
  <c r="J47" i="20"/>
  <c r="K47" i="20" s="1"/>
  <c r="H47" i="20"/>
  <c r="I47" i="20" s="1"/>
  <c r="P46" i="20"/>
  <c r="Q46" i="20" s="1"/>
  <c r="N46" i="20"/>
  <c r="O46" i="20" s="1"/>
  <c r="L46" i="20"/>
  <c r="M46" i="20" s="1"/>
  <c r="J46" i="20"/>
  <c r="K46" i="20" s="1"/>
  <c r="H46" i="20"/>
  <c r="I46" i="20" s="1"/>
  <c r="P45" i="20"/>
  <c r="Q45" i="20" s="1"/>
  <c r="N45" i="20"/>
  <c r="O45" i="20" s="1"/>
  <c r="L45" i="20"/>
  <c r="M45" i="20" s="1"/>
  <c r="J45" i="20"/>
  <c r="K45" i="20" s="1"/>
  <c r="H45" i="20"/>
  <c r="I45" i="20" s="1"/>
  <c r="P44" i="20"/>
  <c r="Q44" i="20" s="1"/>
  <c r="N44" i="20"/>
  <c r="O44" i="20" s="1"/>
  <c r="L44" i="20"/>
  <c r="M44" i="20" s="1"/>
  <c r="J44" i="20"/>
  <c r="K44" i="20" s="1"/>
  <c r="H44" i="20"/>
  <c r="I44" i="20" s="1"/>
  <c r="P43" i="20"/>
  <c r="Q43" i="20" s="1"/>
  <c r="N43" i="20"/>
  <c r="O43" i="20" s="1"/>
  <c r="L43" i="20"/>
  <c r="M43" i="20" s="1"/>
  <c r="J43" i="20"/>
  <c r="K43" i="20" s="1"/>
  <c r="H43" i="20"/>
  <c r="I43" i="20" s="1"/>
  <c r="P42" i="20"/>
  <c r="Q42" i="20" s="1"/>
  <c r="N42" i="20"/>
  <c r="O42" i="20" s="1"/>
  <c r="L42" i="20"/>
  <c r="M42" i="20" s="1"/>
  <c r="J42" i="20"/>
  <c r="K42" i="20" s="1"/>
  <c r="H42" i="20"/>
  <c r="I42" i="20" s="1"/>
  <c r="P41" i="20"/>
  <c r="Q41" i="20" s="1"/>
  <c r="N41" i="20"/>
  <c r="O41" i="20" s="1"/>
  <c r="L41" i="20"/>
  <c r="M41" i="20" s="1"/>
  <c r="J41" i="20"/>
  <c r="K41" i="20" s="1"/>
  <c r="H41" i="20"/>
  <c r="I41" i="20" s="1"/>
  <c r="P40" i="20"/>
  <c r="Q40" i="20" s="1"/>
  <c r="N40" i="20"/>
  <c r="O40" i="20" s="1"/>
  <c r="L40" i="20"/>
  <c r="M40" i="20" s="1"/>
  <c r="J40" i="20"/>
  <c r="K40" i="20" s="1"/>
  <c r="H40" i="20"/>
  <c r="I40" i="20" s="1"/>
  <c r="P39" i="20"/>
  <c r="Q39" i="20" s="1"/>
  <c r="N39" i="20"/>
  <c r="O39" i="20" s="1"/>
  <c r="L39" i="20"/>
  <c r="M39" i="20" s="1"/>
  <c r="J39" i="20"/>
  <c r="K39" i="20" s="1"/>
  <c r="H39" i="20"/>
  <c r="I39" i="20" s="1"/>
  <c r="P38" i="20"/>
  <c r="Q38" i="20" s="1"/>
  <c r="N38" i="20"/>
  <c r="O38" i="20" s="1"/>
  <c r="L38" i="20"/>
  <c r="M38" i="20" s="1"/>
  <c r="J38" i="20"/>
  <c r="K38" i="20" s="1"/>
  <c r="H38" i="20"/>
  <c r="I38" i="20" s="1"/>
  <c r="P37" i="20"/>
  <c r="Q37" i="20" s="1"/>
  <c r="N37" i="20"/>
  <c r="O37" i="20" s="1"/>
  <c r="L37" i="20"/>
  <c r="M37" i="20" s="1"/>
  <c r="J37" i="20"/>
  <c r="K37" i="20" s="1"/>
  <c r="H37" i="20"/>
  <c r="I37" i="20" s="1"/>
  <c r="P36" i="20"/>
  <c r="Q36" i="20" s="1"/>
  <c r="N36" i="20"/>
  <c r="O36" i="20" s="1"/>
  <c r="L36" i="20"/>
  <c r="M36" i="20" s="1"/>
  <c r="J36" i="20"/>
  <c r="K36" i="20" s="1"/>
  <c r="H36" i="20"/>
  <c r="I36" i="20" s="1"/>
  <c r="P35" i="20"/>
  <c r="Q35" i="20" s="1"/>
  <c r="N35" i="20"/>
  <c r="O35" i="20" s="1"/>
  <c r="L35" i="20"/>
  <c r="M35" i="20" s="1"/>
  <c r="J35" i="20"/>
  <c r="K35" i="20" s="1"/>
  <c r="H35" i="20"/>
  <c r="I35" i="20" s="1"/>
  <c r="P34" i="20"/>
  <c r="Q34" i="20" s="1"/>
  <c r="N34" i="20"/>
  <c r="O34" i="20" s="1"/>
  <c r="L34" i="20"/>
  <c r="M34" i="20" s="1"/>
  <c r="J34" i="20"/>
  <c r="K34" i="20" s="1"/>
  <c r="H34" i="20"/>
  <c r="I34" i="20" s="1"/>
  <c r="P33" i="20"/>
  <c r="Q33" i="20" s="1"/>
  <c r="N33" i="20"/>
  <c r="O33" i="20" s="1"/>
  <c r="L33" i="20"/>
  <c r="M33" i="20" s="1"/>
  <c r="J33" i="20"/>
  <c r="K33" i="20" s="1"/>
  <c r="H33" i="20"/>
  <c r="I33" i="20" s="1"/>
  <c r="P32" i="20"/>
  <c r="Q32" i="20" s="1"/>
  <c r="N32" i="20"/>
  <c r="O32" i="20" s="1"/>
  <c r="L32" i="20"/>
  <c r="M32" i="20" s="1"/>
  <c r="J32" i="20"/>
  <c r="K32" i="20" s="1"/>
  <c r="H32" i="20"/>
  <c r="I32" i="20" s="1"/>
  <c r="P31" i="20"/>
  <c r="Q31" i="20" s="1"/>
  <c r="N31" i="20"/>
  <c r="O31" i="20" s="1"/>
  <c r="L31" i="20"/>
  <c r="M31" i="20" s="1"/>
  <c r="J31" i="20"/>
  <c r="K31" i="20" s="1"/>
  <c r="H31" i="20"/>
  <c r="I31" i="20" s="1"/>
  <c r="P30" i="20"/>
  <c r="Q30" i="20" s="1"/>
  <c r="N30" i="20"/>
  <c r="O30" i="20" s="1"/>
  <c r="L30" i="20"/>
  <c r="M30" i="20" s="1"/>
  <c r="J30" i="20"/>
  <c r="K30" i="20" s="1"/>
  <c r="H30" i="20"/>
  <c r="I30" i="20" s="1"/>
  <c r="P29" i="20"/>
  <c r="Q29" i="20" s="1"/>
  <c r="N29" i="20"/>
  <c r="O29" i="20" s="1"/>
  <c r="L29" i="20"/>
  <c r="M29" i="20" s="1"/>
  <c r="J29" i="20"/>
  <c r="K29" i="20" s="1"/>
  <c r="H29" i="20"/>
  <c r="I29" i="20" s="1"/>
  <c r="P28" i="20"/>
  <c r="Q28" i="20" s="1"/>
  <c r="N28" i="20"/>
  <c r="O28" i="20" s="1"/>
  <c r="L28" i="20"/>
  <c r="M28" i="20" s="1"/>
  <c r="J28" i="20"/>
  <c r="K28" i="20" s="1"/>
  <c r="H28" i="20"/>
  <c r="I28" i="20" s="1"/>
  <c r="P27" i="20"/>
  <c r="Q27" i="20" s="1"/>
  <c r="N27" i="20"/>
  <c r="O27" i="20" s="1"/>
  <c r="L27" i="20"/>
  <c r="M27" i="20" s="1"/>
  <c r="J27" i="20"/>
  <c r="K27" i="20" s="1"/>
  <c r="H27" i="20"/>
  <c r="I27" i="20" s="1"/>
  <c r="P26" i="20"/>
  <c r="Q26" i="20" s="1"/>
  <c r="N26" i="20"/>
  <c r="O26" i="20" s="1"/>
  <c r="L26" i="20"/>
  <c r="M26" i="20" s="1"/>
  <c r="J26" i="20"/>
  <c r="K26" i="20" s="1"/>
  <c r="H26" i="20"/>
  <c r="I26" i="20" s="1"/>
  <c r="P25" i="20"/>
  <c r="Q25" i="20" s="1"/>
  <c r="N25" i="20"/>
  <c r="O25" i="20" s="1"/>
  <c r="L25" i="20"/>
  <c r="M25" i="20" s="1"/>
  <c r="J25" i="20"/>
  <c r="K25" i="20" s="1"/>
  <c r="H25" i="20"/>
  <c r="I25" i="20" s="1"/>
  <c r="P24" i="20"/>
  <c r="Q24" i="20" s="1"/>
  <c r="N24" i="20"/>
  <c r="O24" i="20" s="1"/>
  <c r="L24" i="20"/>
  <c r="M24" i="20" s="1"/>
  <c r="J24" i="20"/>
  <c r="K24" i="20" s="1"/>
  <c r="H24" i="20"/>
  <c r="I24" i="20" s="1"/>
  <c r="P23" i="20"/>
  <c r="Q23" i="20" s="1"/>
  <c r="N23" i="20"/>
  <c r="O23" i="20" s="1"/>
  <c r="L23" i="20"/>
  <c r="M23" i="20" s="1"/>
  <c r="J23" i="20"/>
  <c r="K23" i="20" s="1"/>
  <c r="H23" i="20"/>
  <c r="I23" i="20" s="1"/>
  <c r="P22" i="20"/>
  <c r="Q22" i="20" s="1"/>
  <c r="N22" i="20"/>
  <c r="O22" i="20" s="1"/>
  <c r="L22" i="20"/>
  <c r="M22" i="20" s="1"/>
  <c r="J22" i="20"/>
  <c r="K22" i="20" s="1"/>
  <c r="H22" i="20"/>
  <c r="I22" i="20" s="1"/>
  <c r="P21" i="20"/>
  <c r="Q21" i="20" s="1"/>
  <c r="N21" i="20"/>
  <c r="O21" i="20" s="1"/>
  <c r="L21" i="20"/>
  <c r="M21" i="20" s="1"/>
  <c r="J21" i="20"/>
  <c r="K21" i="20" s="1"/>
  <c r="H21" i="20"/>
  <c r="I21" i="20" s="1"/>
  <c r="P20" i="20"/>
  <c r="Q20" i="20" s="1"/>
  <c r="N20" i="20"/>
  <c r="O20" i="20" s="1"/>
  <c r="L20" i="20"/>
  <c r="M20" i="20" s="1"/>
  <c r="J20" i="20"/>
  <c r="K20" i="20" s="1"/>
  <c r="H20" i="20"/>
  <c r="I20" i="20" s="1"/>
  <c r="P19" i="20"/>
  <c r="Q19" i="20" s="1"/>
  <c r="N19" i="20"/>
  <c r="O19" i="20" s="1"/>
  <c r="L19" i="20"/>
  <c r="M19" i="20" s="1"/>
  <c r="J19" i="20"/>
  <c r="K19" i="20" s="1"/>
  <c r="H19" i="20"/>
  <c r="I19" i="20" s="1"/>
  <c r="P18" i="20"/>
  <c r="Q18" i="20" s="1"/>
  <c r="N18" i="20"/>
  <c r="O18" i="20" s="1"/>
  <c r="L18" i="20"/>
  <c r="M18" i="20" s="1"/>
  <c r="J18" i="20"/>
  <c r="K18" i="20" s="1"/>
  <c r="H18" i="20"/>
  <c r="I18" i="20" s="1"/>
  <c r="P17" i="20"/>
  <c r="Q17" i="20" s="1"/>
  <c r="N17" i="20"/>
  <c r="O17" i="20" s="1"/>
  <c r="L17" i="20"/>
  <c r="M17" i="20" s="1"/>
  <c r="J17" i="20"/>
  <c r="K17" i="20" s="1"/>
  <c r="H17" i="20"/>
  <c r="I17" i="20" s="1"/>
  <c r="P16" i="20"/>
  <c r="Q16" i="20" s="1"/>
  <c r="N16" i="20"/>
  <c r="O16" i="20" s="1"/>
  <c r="L16" i="20"/>
  <c r="M16" i="20" s="1"/>
  <c r="J16" i="20"/>
  <c r="K16" i="20" s="1"/>
  <c r="H16" i="20"/>
  <c r="I16" i="20" s="1"/>
  <c r="P15" i="20"/>
  <c r="Q15" i="20" s="1"/>
  <c r="N15" i="20"/>
  <c r="O15" i="20" s="1"/>
  <c r="L15" i="20"/>
  <c r="M15" i="20" s="1"/>
  <c r="J15" i="20"/>
  <c r="K15" i="20" s="1"/>
  <c r="H15" i="20"/>
  <c r="I15" i="20" s="1"/>
  <c r="P14" i="20"/>
  <c r="Q14" i="20" s="1"/>
  <c r="N14" i="20"/>
  <c r="O14" i="20" s="1"/>
  <c r="L14" i="20"/>
  <c r="M14" i="20" s="1"/>
  <c r="J14" i="20"/>
  <c r="K14" i="20" s="1"/>
  <c r="H14" i="20"/>
  <c r="I14" i="20" s="1"/>
  <c r="P13" i="20"/>
  <c r="Q13" i="20" s="1"/>
  <c r="N13" i="20"/>
  <c r="O13" i="20" s="1"/>
  <c r="L13" i="20"/>
  <c r="M13" i="20" s="1"/>
  <c r="J13" i="20"/>
  <c r="K13" i="20" s="1"/>
  <c r="H13" i="20"/>
  <c r="I13" i="20" s="1"/>
  <c r="P12" i="20"/>
  <c r="Q12" i="20" s="1"/>
  <c r="N12" i="20"/>
  <c r="O12" i="20" s="1"/>
  <c r="L12" i="20"/>
  <c r="M12" i="20" s="1"/>
  <c r="J12" i="20"/>
  <c r="K12" i="20" s="1"/>
  <c r="H12" i="20"/>
  <c r="I12" i="20" s="1"/>
  <c r="P11" i="20"/>
  <c r="Q11" i="20" s="1"/>
  <c r="N11" i="20"/>
  <c r="O11" i="20" s="1"/>
  <c r="L11" i="20"/>
  <c r="M11" i="20" s="1"/>
  <c r="J11" i="20"/>
  <c r="K11" i="20" s="1"/>
  <c r="H11" i="20"/>
  <c r="I11" i="20" s="1"/>
  <c r="P10" i="20"/>
  <c r="Q10" i="20" s="1"/>
  <c r="N10" i="20"/>
  <c r="O10" i="20" s="1"/>
  <c r="L10" i="20"/>
  <c r="M10" i="20" s="1"/>
  <c r="J10" i="20"/>
  <c r="K10" i="20" s="1"/>
  <c r="H10" i="20"/>
  <c r="I10" i="20" s="1"/>
  <c r="P9" i="20"/>
  <c r="Q9" i="20" s="1"/>
  <c r="N9" i="20"/>
  <c r="O9" i="20" s="1"/>
  <c r="L9" i="20"/>
  <c r="M9" i="20" s="1"/>
  <c r="J9" i="20"/>
  <c r="K9" i="20" s="1"/>
  <c r="H9" i="20"/>
  <c r="I9" i="20" s="1"/>
  <c r="P8" i="20"/>
  <c r="Q8" i="20" s="1"/>
  <c r="N8" i="20"/>
  <c r="O8" i="20" s="1"/>
  <c r="L8" i="20"/>
  <c r="M8" i="20" s="1"/>
  <c r="J8" i="20"/>
  <c r="K8" i="20" s="1"/>
  <c r="H8" i="20"/>
  <c r="I8" i="20" s="1"/>
  <c r="P7" i="20"/>
  <c r="Q7" i="20" s="1"/>
  <c r="N7" i="20"/>
  <c r="O7" i="20" s="1"/>
  <c r="L7" i="20"/>
  <c r="M7" i="20" s="1"/>
  <c r="J7" i="20"/>
  <c r="K7" i="20" s="1"/>
  <c r="H7" i="20"/>
  <c r="I7" i="20" s="1"/>
  <c r="P6" i="20"/>
  <c r="Q6" i="20" s="1"/>
  <c r="N6" i="20"/>
  <c r="O6" i="20" s="1"/>
  <c r="L6" i="20"/>
  <c r="M6" i="20" s="1"/>
  <c r="J6" i="20"/>
  <c r="K6" i="20" s="1"/>
  <c r="H6" i="20"/>
  <c r="I6" i="20" s="1"/>
  <c r="P5" i="20"/>
  <c r="Q5" i="20" s="1"/>
  <c r="N5" i="20"/>
  <c r="O5" i="20" s="1"/>
  <c r="L5" i="20"/>
  <c r="M5" i="20" s="1"/>
  <c r="J5" i="20"/>
  <c r="K5" i="20" s="1"/>
  <c r="H5" i="20"/>
  <c r="I5" i="20" s="1"/>
  <c r="P4" i="20"/>
  <c r="Q4" i="20" s="1"/>
  <c r="N4" i="20"/>
  <c r="O4" i="20" s="1"/>
  <c r="L4" i="20"/>
  <c r="M4" i="20" s="1"/>
  <c r="J4" i="20"/>
  <c r="K4" i="20" s="1"/>
  <c r="H4" i="20"/>
  <c r="I4" i="20" s="1"/>
  <c r="B4" i="20"/>
  <c r="F4" i="20"/>
  <c r="G4" i="20" s="1"/>
  <c r="P3" i="20"/>
  <c r="Q3" i="20" s="1"/>
  <c r="N3" i="20"/>
  <c r="O3" i="20" s="1"/>
  <c r="L3" i="20"/>
  <c r="M3" i="20" s="1"/>
  <c r="J3" i="20"/>
  <c r="K3" i="20" s="1"/>
  <c r="H3" i="20"/>
  <c r="I3" i="20" s="1"/>
  <c r="F3" i="20"/>
  <c r="G3" i="20" s="1"/>
  <c r="D3" i="20"/>
  <c r="E3" i="20" s="1"/>
  <c r="C3" i="20"/>
  <c r="E13" i="5"/>
  <c r="E12" i="5" s="1"/>
  <c r="A15" i="5"/>
  <c r="S9" i="5"/>
  <c r="D8" i="11"/>
  <c r="AB48" i="11" s="1"/>
  <c r="D12" i="11"/>
  <c r="D85" i="11"/>
  <c r="D84" i="11"/>
  <c r="D83" i="11"/>
  <c r="D82" i="11"/>
  <c r="C82" i="11"/>
  <c r="C76" i="11" s="1"/>
  <c r="D81" i="11"/>
  <c r="C81" i="11"/>
  <c r="C75" i="11"/>
  <c r="D80" i="11"/>
  <c r="C80" i="11"/>
  <c r="C74" i="11" s="1"/>
  <c r="D79" i="11"/>
  <c r="C79" i="11"/>
  <c r="C85" i="11" s="1"/>
  <c r="D78" i="11"/>
  <c r="C78" i="11"/>
  <c r="C84" i="11" s="1"/>
  <c r="D77" i="11"/>
  <c r="D76" i="11"/>
  <c r="D75" i="11"/>
  <c r="D74" i="11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C33" i="5" s="1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C37" i="5" s="1"/>
  <c r="D37" i="5" s="1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C41" i="5" s="1"/>
  <c r="D41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C45" i="5" s="1"/>
  <c r="D45" i="5" s="1"/>
  <c r="E45" i="5" s="1"/>
  <c r="F45" i="5" s="1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R45" i="5" s="1"/>
  <c r="C35" i="11"/>
  <c r="V35" i="11" s="1"/>
  <c r="D11" i="11"/>
  <c r="R49" i="11" s="1"/>
  <c r="AF48" i="11"/>
  <c r="H49" i="11"/>
  <c r="AG48" i="11"/>
  <c r="S392" i="20"/>
  <c r="T392" i="20" s="1"/>
  <c r="C388" i="20"/>
  <c r="B389" i="20"/>
  <c r="C376" i="20"/>
  <c r="B377" i="20"/>
  <c r="C364" i="20"/>
  <c r="B365" i="20"/>
  <c r="C352" i="20"/>
  <c r="B353" i="20"/>
  <c r="C340" i="20"/>
  <c r="B341" i="20"/>
  <c r="C328" i="20"/>
  <c r="B329" i="20"/>
  <c r="S329" i="20"/>
  <c r="T329" i="20" s="1"/>
  <c r="C316" i="20"/>
  <c r="B317" i="20"/>
  <c r="C304" i="20"/>
  <c r="B305" i="20"/>
  <c r="C291" i="20"/>
  <c r="B292" i="20"/>
  <c r="S288" i="20"/>
  <c r="T288" i="20" s="1"/>
  <c r="S244" i="20"/>
  <c r="T244" i="20" s="1"/>
  <c r="B5" i="20"/>
  <c r="B6" i="20"/>
  <c r="C4" i="20"/>
  <c r="S21" i="20"/>
  <c r="T21" i="20" s="1"/>
  <c r="S238" i="20"/>
  <c r="T238" i="20" s="1"/>
  <c r="S174" i="20"/>
  <c r="T174" i="20" s="1"/>
  <c r="S110" i="20"/>
  <c r="T110" i="20" s="1"/>
  <c r="S197" i="20"/>
  <c r="T197" i="20" s="1"/>
  <c r="S133" i="20"/>
  <c r="T133" i="20" s="1"/>
  <c r="S18" i="20"/>
  <c r="T18" i="20" s="1"/>
  <c r="S50" i="20"/>
  <c r="T50" i="20" s="1"/>
  <c r="S70" i="20"/>
  <c r="T70" i="20" s="1"/>
  <c r="S88" i="20"/>
  <c r="T88" i="20" s="1"/>
  <c r="F6" i="20"/>
  <c r="G6" i="20" s="1"/>
  <c r="B7" i="20"/>
  <c r="C6" i="20"/>
  <c r="F5" i="20"/>
  <c r="G5" i="20" s="1"/>
  <c r="C5" i="20"/>
  <c r="B390" i="20"/>
  <c r="C389" i="20"/>
  <c r="B378" i="20"/>
  <c r="C377" i="20"/>
  <c r="B366" i="20"/>
  <c r="C365" i="20"/>
  <c r="B354" i="20"/>
  <c r="C353" i="20"/>
  <c r="B342" i="20"/>
  <c r="C341" i="20"/>
  <c r="B330" i="20"/>
  <c r="C329" i="20"/>
  <c r="B318" i="20"/>
  <c r="C317" i="20"/>
  <c r="B306" i="20"/>
  <c r="C305" i="20"/>
  <c r="B293" i="20"/>
  <c r="C292" i="20"/>
  <c r="B8" i="20"/>
  <c r="C7" i="20"/>
  <c r="F7" i="20"/>
  <c r="G7" i="20" s="1"/>
  <c r="C390" i="20"/>
  <c r="B379" i="20"/>
  <c r="C378" i="20"/>
  <c r="B367" i="20"/>
  <c r="C366" i="20"/>
  <c r="B355" i="20"/>
  <c r="C354" i="20"/>
  <c r="B343" i="20"/>
  <c r="C342" i="20"/>
  <c r="B331" i="20"/>
  <c r="C330" i="20"/>
  <c r="B319" i="20"/>
  <c r="C318" i="20"/>
  <c r="B307" i="20"/>
  <c r="C306" i="20"/>
  <c r="B294" i="20"/>
  <c r="C293" i="20"/>
  <c r="B9" i="20"/>
  <c r="F8" i="20"/>
  <c r="G8" i="20" s="1"/>
  <c r="C8" i="20"/>
  <c r="B380" i="20"/>
  <c r="C379" i="20"/>
  <c r="B368" i="20"/>
  <c r="C367" i="20"/>
  <c r="B356" i="20"/>
  <c r="C355" i="20"/>
  <c r="B344" i="20"/>
  <c r="C343" i="20"/>
  <c r="B332" i="20"/>
  <c r="C331" i="20"/>
  <c r="B320" i="20"/>
  <c r="C319" i="20"/>
  <c r="B308" i="20"/>
  <c r="C307" i="20"/>
  <c r="B295" i="20"/>
  <c r="C294" i="20"/>
  <c r="F9" i="20"/>
  <c r="G9" i="20" s="1"/>
  <c r="B10" i="20"/>
  <c r="C9" i="20"/>
  <c r="B381" i="20"/>
  <c r="C380" i="20"/>
  <c r="B369" i="20"/>
  <c r="C368" i="20"/>
  <c r="B357" i="20"/>
  <c r="C356" i="20"/>
  <c r="B345" i="20"/>
  <c r="C344" i="20"/>
  <c r="B333" i="20"/>
  <c r="C332" i="20"/>
  <c r="B321" i="20"/>
  <c r="C320" i="20"/>
  <c r="B309" i="20"/>
  <c r="C308" i="20"/>
  <c r="B296" i="20"/>
  <c r="C295" i="20"/>
  <c r="B11" i="20"/>
  <c r="C10" i="20"/>
  <c r="F10" i="20"/>
  <c r="G10" i="20" s="1"/>
  <c r="B382" i="20"/>
  <c r="C381" i="20"/>
  <c r="B370" i="20"/>
  <c r="C369" i="20"/>
  <c r="B358" i="20"/>
  <c r="C357" i="20"/>
  <c r="B346" i="20"/>
  <c r="C345" i="20"/>
  <c r="B334" i="20"/>
  <c r="C333" i="20"/>
  <c r="B322" i="20"/>
  <c r="C321" i="20"/>
  <c r="B310" i="20"/>
  <c r="C309" i="20"/>
  <c r="B297" i="20"/>
  <c r="C296" i="20"/>
  <c r="F11" i="20"/>
  <c r="G11" i="20" s="1"/>
  <c r="B12" i="20"/>
  <c r="C11" i="20"/>
  <c r="B383" i="20"/>
  <c r="C382" i="20"/>
  <c r="B371" i="20"/>
  <c r="C370" i="20"/>
  <c r="B359" i="20"/>
  <c r="C358" i="20"/>
  <c r="B347" i="20"/>
  <c r="C346" i="20"/>
  <c r="B335" i="20"/>
  <c r="C334" i="20"/>
  <c r="B323" i="20"/>
  <c r="C322" i="20"/>
  <c r="B311" i="20"/>
  <c r="C310" i="20"/>
  <c r="B298" i="20"/>
  <c r="C297" i="20"/>
  <c r="B13" i="20"/>
  <c r="C12" i="20"/>
  <c r="F12" i="20"/>
  <c r="G12" i="20" s="1"/>
  <c r="B384" i="20"/>
  <c r="C383" i="20"/>
  <c r="B372" i="20"/>
  <c r="C371" i="20"/>
  <c r="B360" i="20"/>
  <c r="C359" i="20"/>
  <c r="B348" i="20"/>
  <c r="C347" i="20"/>
  <c r="B336" i="20"/>
  <c r="C335" i="20"/>
  <c r="B324" i="20"/>
  <c r="C323" i="20"/>
  <c r="B312" i="20"/>
  <c r="C311" i="20"/>
  <c r="B299" i="20"/>
  <c r="C298" i="20"/>
  <c r="F13" i="20"/>
  <c r="G13" i="20" s="1"/>
  <c r="B14" i="20"/>
  <c r="C13" i="20"/>
  <c r="B385" i="20"/>
  <c r="C384" i="20"/>
  <c r="B373" i="20"/>
  <c r="C372" i="20"/>
  <c r="B361" i="20"/>
  <c r="C360" i="20"/>
  <c r="B349" i="20"/>
  <c r="C348" i="20"/>
  <c r="B337" i="20"/>
  <c r="C336" i="20"/>
  <c r="B325" i="20"/>
  <c r="C324" i="20"/>
  <c r="B313" i="20"/>
  <c r="C312" i="20"/>
  <c r="B300" i="20"/>
  <c r="C299" i="20"/>
  <c r="C14" i="20"/>
  <c r="B15" i="20"/>
  <c r="F14" i="20"/>
  <c r="G14" i="20" s="1"/>
  <c r="B386" i="20"/>
  <c r="C385" i="20"/>
  <c r="B374" i="20"/>
  <c r="C373" i="20"/>
  <c r="B362" i="20"/>
  <c r="C361" i="20"/>
  <c r="B350" i="20"/>
  <c r="C349" i="20"/>
  <c r="B338" i="20"/>
  <c r="C337" i="20"/>
  <c r="B326" i="20"/>
  <c r="C325" i="20"/>
  <c r="B314" i="20"/>
  <c r="C313" i="20"/>
  <c r="B301" i="20"/>
  <c r="C300" i="20"/>
  <c r="B16" i="20"/>
  <c r="C15" i="20"/>
  <c r="F15" i="20"/>
  <c r="G15" i="20" s="1"/>
  <c r="C386" i="20"/>
  <c r="C374" i="20"/>
  <c r="C362" i="20"/>
  <c r="C350" i="20"/>
  <c r="C338" i="20"/>
  <c r="C326" i="20"/>
  <c r="C314" i="20"/>
  <c r="B302" i="20"/>
  <c r="C301" i="20"/>
  <c r="F16" i="20"/>
  <c r="G16" i="20" s="1"/>
  <c r="B17" i="20"/>
  <c r="C16" i="20"/>
  <c r="C302" i="20"/>
  <c r="B18" i="20"/>
  <c r="C17" i="20"/>
  <c r="F17" i="20"/>
  <c r="G17" i="20" s="1"/>
  <c r="F18" i="20"/>
  <c r="G18" i="20" s="1"/>
  <c r="B19" i="20"/>
  <c r="C18" i="20"/>
  <c r="B20" i="20"/>
  <c r="C19" i="20"/>
  <c r="F19" i="20"/>
  <c r="G19" i="20" s="1"/>
  <c r="B21" i="20"/>
  <c r="F20" i="20"/>
  <c r="G20" i="20" s="1"/>
  <c r="C20" i="20"/>
  <c r="F21" i="20"/>
  <c r="G21" i="20" s="1"/>
  <c r="B22" i="20"/>
  <c r="C21" i="20"/>
  <c r="B23" i="20"/>
  <c r="C22" i="20"/>
  <c r="F22" i="20"/>
  <c r="G22" i="20" s="1"/>
  <c r="F23" i="20"/>
  <c r="G23" i="20" s="1"/>
  <c r="B24" i="20"/>
  <c r="C23" i="20"/>
  <c r="B25" i="20"/>
  <c r="C24" i="20"/>
  <c r="F24" i="20"/>
  <c r="G24" i="20" s="1"/>
  <c r="F25" i="20"/>
  <c r="G25" i="20" s="1"/>
  <c r="B26" i="20"/>
  <c r="C25" i="20"/>
  <c r="C26" i="20"/>
  <c r="B27" i="20"/>
  <c r="F26" i="20"/>
  <c r="G26" i="20" s="1"/>
  <c r="B28" i="20"/>
  <c r="C27" i="20"/>
  <c r="F27" i="20"/>
  <c r="G27" i="20" s="1"/>
  <c r="F28" i="20"/>
  <c r="G28" i="20" s="1"/>
  <c r="B29" i="20"/>
  <c r="C28" i="20"/>
  <c r="B30" i="20"/>
  <c r="C29" i="20"/>
  <c r="F29" i="20"/>
  <c r="G29" i="20" s="1"/>
  <c r="F30" i="20"/>
  <c r="G30" i="20" s="1"/>
  <c r="B31" i="20"/>
  <c r="C30" i="20"/>
  <c r="B32" i="20"/>
  <c r="C31" i="20"/>
  <c r="F31" i="20"/>
  <c r="G31" i="20" s="1"/>
  <c r="B33" i="20"/>
  <c r="F32" i="20"/>
  <c r="G32" i="20" s="1"/>
  <c r="C32" i="20"/>
  <c r="F33" i="20"/>
  <c r="G33" i="20" s="1"/>
  <c r="B34" i="20"/>
  <c r="C33" i="20"/>
  <c r="B35" i="20"/>
  <c r="C34" i="20"/>
  <c r="F34" i="20"/>
  <c r="G34" i="20" s="1"/>
  <c r="F35" i="20"/>
  <c r="G35" i="20" s="1"/>
  <c r="B36" i="20"/>
  <c r="C35" i="20"/>
  <c r="B37" i="20"/>
  <c r="C36" i="20"/>
  <c r="F36" i="20"/>
  <c r="G36" i="20" s="1"/>
  <c r="F37" i="20"/>
  <c r="G37" i="20" s="1"/>
  <c r="B38" i="20"/>
  <c r="C37" i="20"/>
  <c r="C38" i="20"/>
  <c r="B39" i="20"/>
  <c r="F38" i="20"/>
  <c r="G38" i="20" s="1"/>
  <c r="B40" i="20"/>
  <c r="C39" i="20"/>
  <c r="F39" i="20"/>
  <c r="G39" i="20" s="1"/>
  <c r="F40" i="20"/>
  <c r="G40" i="20" s="1"/>
  <c r="B41" i="20"/>
  <c r="C40" i="20"/>
  <c r="B42" i="20"/>
  <c r="C41" i="20"/>
  <c r="F41" i="20"/>
  <c r="G41" i="20" s="1"/>
  <c r="F42" i="20"/>
  <c r="G42" i="20" s="1"/>
  <c r="B43" i="20"/>
  <c r="C42" i="20"/>
  <c r="B44" i="20"/>
  <c r="C43" i="20"/>
  <c r="F43" i="20"/>
  <c r="G43" i="20" s="1"/>
  <c r="B45" i="20"/>
  <c r="F44" i="20"/>
  <c r="G44" i="20" s="1"/>
  <c r="C44" i="20"/>
  <c r="F45" i="20"/>
  <c r="G45" i="20" s="1"/>
  <c r="B46" i="20"/>
  <c r="C45" i="20"/>
  <c r="B47" i="20"/>
  <c r="C46" i="20"/>
  <c r="F46" i="20"/>
  <c r="G46" i="20" s="1"/>
  <c r="F47" i="20"/>
  <c r="G47" i="20" s="1"/>
  <c r="B48" i="20"/>
  <c r="C47" i="20"/>
  <c r="B49" i="20"/>
  <c r="C48" i="20"/>
  <c r="F48" i="20"/>
  <c r="G48" i="20" s="1"/>
  <c r="F49" i="20"/>
  <c r="G49" i="20" s="1"/>
  <c r="B50" i="20"/>
  <c r="C49" i="20"/>
  <c r="C50" i="20"/>
  <c r="B51" i="20"/>
  <c r="F50" i="20"/>
  <c r="G50" i="20" s="1"/>
  <c r="B52" i="20"/>
  <c r="C51" i="20"/>
  <c r="F51" i="20"/>
  <c r="G51" i="20" s="1"/>
  <c r="F52" i="20"/>
  <c r="G52" i="20" s="1"/>
  <c r="B53" i="20"/>
  <c r="C52" i="20"/>
  <c r="B54" i="20"/>
  <c r="C53" i="20"/>
  <c r="F53" i="20"/>
  <c r="G53" i="20" s="1"/>
  <c r="B55" i="20"/>
  <c r="C54" i="20"/>
  <c r="B56" i="20"/>
  <c r="C55" i="20"/>
  <c r="B57" i="20"/>
  <c r="C56" i="20"/>
  <c r="B58" i="20"/>
  <c r="C57" i="20"/>
  <c r="B59" i="20"/>
  <c r="C58" i="20"/>
  <c r="B60" i="20"/>
  <c r="C59" i="20"/>
  <c r="B61" i="20"/>
  <c r="C60" i="20"/>
  <c r="B62" i="20"/>
  <c r="C61" i="20"/>
  <c r="C62" i="20"/>
  <c r="B63" i="20"/>
  <c r="B64" i="20"/>
  <c r="C63" i="20"/>
  <c r="B65" i="20"/>
  <c r="C64" i="20"/>
  <c r="B66" i="20"/>
  <c r="C65" i="20"/>
  <c r="B67" i="20"/>
  <c r="C66" i="20"/>
  <c r="B68" i="20"/>
  <c r="C67" i="20"/>
  <c r="B69" i="20"/>
  <c r="C68" i="20"/>
  <c r="B70" i="20"/>
  <c r="C69" i="20"/>
  <c r="B71" i="20"/>
  <c r="C70" i="20"/>
  <c r="B72" i="20"/>
  <c r="C71" i="20"/>
  <c r="B73" i="20"/>
  <c r="C72" i="20"/>
  <c r="B74" i="20"/>
  <c r="C73" i="20"/>
  <c r="C74" i="20"/>
  <c r="B75" i="20"/>
  <c r="B76" i="20"/>
  <c r="C75" i="20"/>
  <c r="B77" i="20"/>
  <c r="C76" i="20"/>
  <c r="B78" i="20"/>
  <c r="C77" i="20"/>
  <c r="B79" i="20"/>
  <c r="C78" i="20"/>
  <c r="B80" i="20"/>
  <c r="C79" i="20"/>
  <c r="B81" i="20"/>
  <c r="C80" i="20"/>
  <c r="B82" i="20"/>
  <c r="C81" i="20"/>
  <c r="C82" i="20"/>
  <c r="B83" i="20"/>
  <c r="B84" i="20"/>
  <c r="C83" i="20"/>
  <c r="C84" i="20"/>
  <c r="B85" i="20"/>
  <c r="B86" i="20"/>
  <c r="C85" i="20"/>
  <c r="B87" i="20"/>
  <c r="C86" i="20"/>
  <c r="B88" i="20"/>
  <c r="C87" i="20"/>
  <c r="B89" i="20"/>
  <c r="C88" i="20"/>
  <c r="B90" i="20"/>
  <c r="C89" i="20"/>
  <c r="B91" i="20"/>
  <c r="C90" i="20"/>
  <c r="B92" i="20"/>
  <c r="C91" i="20"/>
  <c r="B93" i="20"/>
  <c r="C92" i="20"/>
  <c r="B94" i="20"/>
  <c r="C93" i="20"/>
  <c r="B95" i="20"/>
  <c r="C94" i="20"/>
  <c r="B96" i="20"/>
  <c r="C95" i="20"/>
  <c r="B97" i="20"/>
  <c r="C96" i="20"/>
  <c r="B98" i="20"/>
  <c r="C97" i="20"/>
  <c r="C98" i="20"/>
  <c r="B99" i="20"/>
  <c r="B100" i="20"/>
  <c r="C99" i="20"/>
  <c r="B101" i="20"/>
  <c r="C100" i="20"/>
  <c r="B102" i="20"/>
  <c r="C101" i="20"/>
  <c r="B103" i="20"/>
  <c r="C102" i="20"/>
  <c r="B104" i="20"/>
  <c r="C103" i="20"/>
  <c r="B105" i="20"/>
  <c r="C104" i="20"/>
  <c r="B106" i="20"/>
  <c r="C105" i="20"/>
  <c r="B107" i="20"/>
  <c r="C106" i="20"/>
  <c r="B108" i="20"/>
  <c r="C107" i="20"/>
  <c r="B109" i="20"/>
  <c r="C108" i="20"/>
  <c r="B110" i="20"/>
  <c r="C109" i="20"/>
  <c r="C110" i="20"/>
  <c r="B111" i="20"/>
  <c r="B112" i="20"/>
  <c r="C111" i="20"/>
  <c r="B113" i="20"/>
  <c r="C112" i="20"/>
  <c r="B114" i="20"/>
  <c r="C113" i="20"/>
  <c r="B115" i="20"/>
  <c r="C114" i="20"/>
  <c r="B116" i="20"/>
  <c r="C115" i="20"/>
  <c r="B117" i="20"/>
  <c r="C116" i="20"/>
  <c r="B118" i="20"/>
  <c r="C117" i="20"/>
  <c r="B119" i="20"/>
  <c r="C118" i="20"/>
  <c r="B120" i="20"/>
  <c r="C119" i="20"/>
  <c r="B121" i="20"/>
  <c r="C120" i="20"/>
  <c r="B122" i="20"/>
  <c r="C121" i="20"/>
  <c r="C122" i="20"/>
  <c r="B123" i="20"/>
  <c r="B124" i="20"/>
  <c r="C123" i="20"/>
  <c r="B125" i="20"/>
  <c r="C124" i="20"/>
  <c r="B126" i="20"/>
  <c r="C125" i="20"/>
  <c r="B127" i="20"/>
  <c r="C126" i="20"/>
  <c r="B128" i="20"/>
  <c r="C127" i="20"/>
  <c r="B129" i="20"/>
  <c r="C128" i="20"/>
  <c r="B130" i="20"/>
  <c r="C129" i="20"/>
  <c r="B131" i="20"/>
  <c r="C130" i="20"/>
  <c r="B132" i="20"/>
  <c r="C131" i="20"/>
  <c r="B133" i="20"/>
  <c r="C132" i="20"/>
  <c r="B134" i="20"/>
  <c r="C133" i="20"/>
  <c r="C134" i="20"/>
  <c r="B135" i="20"/>
  <c r="B136" i="20"/>
  <c r="C135" i="20"/>
  <c r="B137" i="20"/>
  <c r="C136" i="20"/>
  <c r="B138" i="20"/>
  <c r="C137" i="20"/>
  <c r="B139" i="20"/>
  <c r="C138" i="20"/>
  <c r="B140" i="20"/>
  <c r="C139" i="20"/>
  <c r="B141" i="20"/>
  <c r="C140" i="20"/>
  <c r="B142" i="20"/>
  <c r="C141" i="20"/>
  <c r="B143" i="20"/>
  <c r="C142" i="20"/>
  <c r="B144" i="20"/>
  <c r="C143" i="20"/>
  <c r="B145" i="20"/>
  <c r="C144" i="20"/>
  <c r="B146" i="20"/>
  <c r="C145" i="20"/>
  <c r="B147" i="20"/>
  <c r="C146" i="20"/>
  <c r="B148" i="20"/>
  <c r="C147" i="20"/>
  <c r="B149" i="20"/>
  <c r="C148" i="20"/>
  <c r="B150" i="20"/>
  <c r="C149" i="20"/>
  <c r="B151" i="20"/>
  <c r="C150" i="20"/>
  <c r="B152" i="20"/>
  <c r="C151" i="20"/>
  <c r="B153" i="20"/>
  <c r="C152" i="20"/>
  <c r="B154" i="20"/>
  <c r="C153" i="20"/>
  <c r="B155" i="20"/>
  <c r="C154" i="20"/>
  <c r="B156" i="20"/>
  <c r="C155" i="20"/>
  <c r="B157" i="20"/>
  <c r="C156" i="20"/>
  <c r="B158" i="20"/>
  <c r="C157" i="20"/>
  <c r="C158" i="20"/>
  <c r="B159" i="20"/>
  <c r="B160" i="20"/>
  <c r="C159" i="20"/>
  <c r="B161" i="20"/>
  <c r="C160" i="20"/>
  <c r="B162" i="20"/>
  <c r="C161" i="20"/>
  <c r="B163" i="20"/>
  <c r="C162" i="20"/>
  <c r="B164" i="20"/>
  <c r="C163" i="20"/>
  <c r="B165" i="20"/>
  <c r="C164" i="20"/>
  <c r="B166" i="20"/>
  <c r="C165" i="20"/>
  <c r="B167" i="20"/>
  <c r="C166" i="20"/>
  <c r="B168" i="20"/>
  <c r="C167" i="20"/>
  <c r="B169" i="20"/>
  <c r="C168" i="20"/>
  <c r="B170" i="20"/>
  <c r="C169" i="20"/>
  <c r="C170" i="20"/>
  <c r="B171" i="20"/>
  <c r="B172" i="20"/>
  <c r="C171" i="20"/>
  <c r="B173" i="20"/>
  <c r="C172" i="20"/>
  <c r="B174" i="20"/>
  <c r="C173" i="20"/>
  <c r="B175" i="20"/>
  <c r="C174" i="20"/>
  <c r="B176" i="20"/>
  <c r="C175" i="20"/>
  <c r="B177" i="20"/>
  <c r="C176" i="20"/>
  <c r="B178" i="20"/>
  <c r="C177" i="20"/>
  <c r="B179" i="20"/>
  <c r="C178" i="20"/>
  <c r="B180" i="20"/>
  <c r="C179" i="20"/>
  <c r="B181" i="20"/>
  <c r="C180" i="20"/>
  <c r="B182" i="20"/>
  <c r="C181" i="20"/>
  <c r="C182" i="20"/>
  <c r="B183" i="20"/>
  <c r="B184" i="20"/>
  <c r="C183" i="20"/>
  <c r="B185" i="20"/>
  <c r="C184" i="20"/>
  <c r="B186" i="20"/>
  <c r="C185" i="20"/>
  <c r="B187" i="20"/>
  <c r="C186" i="20"/>
  <c r="C187" i="20"/>
  <c r="B188" i="20"/>
  <c r="C188" i="20"/>
  <c r="B189" i="20"/>
  <c r="B190" i="20"/>
  <c r="C189" i="20"/>
  <c r="B191" i="20"/>
  <c r="C190" i="20"/>
  <c r="B192" i="20"/>
  <c r="C191" i="20"/>
  <c r="B193" i="20"/>
  <c r="C192" i="20"/>
  <c r="B194" i="20"/>
  <c r="C193" i="20"/>
  <c r="B195" i="20"/>
  <c r="C194" i="20"/>
  <c r="B196" i="20"/>
  <c r="C195" i="20"/>
  <c r="B197" i="20"/>
  <c r="C196" i="20"/>
  <c r="B198" i="20"/>
  <c r="C197" i="20"/>
  <c r="B199" i="20"/>
  <c r="C198" i="20"/>
  <c r="B200" i="20"/>
  <c r="C199" i="20"/>
  <c r="C200" i="20"/>
  <c r="B201" i="20"/>
  <c r="B202" i="20"/>
  <c r="C201" i="20"/>
  <c r="B203" i="20"/>
  <c r="C202" i="20"/>
  <c r="B204" i="20"/>
  <c r="C203" i="20"/>
  <c r="B205" i="20"/>
  <c r="C204" i="20"/>
  <c r="B206" i="20"/>
  <c r="C205" i="20"/>
  <c r="B207" i="20"/>
  <c r="C206" i="20"/>
  <c r="B208" i="20"/>
  <c r="C207" i="20"/>
  <c r="B209" i="20"/>
  <c r="C208" i="20"/>
  <c r="B210" i="20"/>
  <c r="C209" i="20"/>
  <c r="B211" i="20"/>
  <c r="C210" i="20"/>
  <c r="B212" i="20"/>
  <c r="C211" i="20"/>
  <c r="C212" i="20"/>
  <c r="B213" i="20"/>
  <c r="B214" i="20"/>
  <c r="C213" i="20"/>
  <c r="B215" i="20"/>
  <c r="C214" i="20"/>
  <c r="B216" i="20"/>
  <c r="C215" i="20"/>
  <c r="B217" i="20"/>
  <c r="C216" i="20"/>
  <c r="B218" i="20"/>
  <c r="C217" i="20"/>
  <c r="B219" i="20"/>
  <c r="C218" i="20"/>
  <c r="B220" i="20"/>
  <c r="C219" i="20"/>
  <c r="B221" i="20"/>
  <c r="C220" i="20"/>
  <c r="B222" i="20"/>
  <c r="C221" i="20"/>
  <c r="B223" i="20"/>
  <c r="C222" i="20"/>
  <c r="B224" i="20"/>
  <c r="C223" i="20"/>
  <c r="B225" i="20"/>
  <c r="C224" i="20"/>
  <c r="C225" i="20"/>
  <c r="B226" i="20"/>
  <c r="B227" i="20"/>
  <c r="C226" i="20"/>
  <c r="C227" i="20"/>
  <c r="B228" i="20"/>
  <c r="B229" i="20"/>
  <c r="C228" i="20"/>
  <c r="C229" i="20"/>
  <c r="B230" i="20"/>
  <c r="C230" i="20"/>
  <c r="B231" i="20"/>
  <c r="B232" i="20"/>
  <c r="C231" i="20"/>
  <c r="B233" i="20"/>
  <c r="C232" i="20"/>
  <c r="B234" i="20"/>
  <c r="C233" i="20"/>
  <c r="B235" i="20"/>
  <c r="C234" i="20"/>
  <c r="B236" i="20"/>
  <c r="C235" i="20"/>
  <c r="B237" i="20"/>
  <c r="C236" i="20"/>
  <c r="B238" i="20"/>
  <c r="C237" i="20"/>
  <c r="B239" i="20"/>
  <c r="C238" i="20"/>
  <c r="B240" i="20"/>
  <c r="C239" i="20"/>
  <c r="B241" i="20"/>
  <c r="C240" i="20"/>
  <c r="B242" i="20"/>
  <c r="C241" i="20"/>
  <c r="C242" i="20"/>
  <c r="B243" i="20"/>
  <c r="C243" i="20"/>
  <c r="B244" i="20"/>
  <c r="B245" i="20"/>
  <c r="C244" i="20"/>
  <c r="B246" i="20"/>
  <c r="C245" i="20"/>
  <c r="B247" i="20"/>
  <c r="C246" i="20"/>
  <c r="B248" i="20"/>
  <c r="C247" i="20"/>
  <c r="B249" i="20"/>
  <c r="C248" i="20"/>
  <c r="B250" i="20"/>
  <c r="C249" i="20"/>
  <c r="B251" i="20"/>
  <c r="C250" i="20"/>
  <c r="B252" i="20"/>
  <c r="C251" i="20"/>
  <c r="B253" i="20"/>
  <c r="C252" i="20"/>
  <c r="B254" i="20"/>
  <c r="B255" i="20"/>
  <c r="C253" i="20"/>
  <c r="C255" i="20"/>
  <c r="B256" i="20"/>
  <c r="C254" i="20"/>
  <c r="C256" i="20"/>
  <c r="B257" i="20"/>
  <c r="B258" i="20"/>
  <c r="C257" i="20"/>
  <c r="C258" i="20"/>
  <c r="B259" i="20"/>
  <c r="C259" i="20"/>
  <c r="B260" i="20"/>
  <c r="B261" i="20"/>
  <c r="C260" i="20"/>
  <c r="C261" i="20"/>
  <c r="B262" i="20"/>
  <c r="B263" i="20"/>
  <c r="C262" i="20"/>
  <c r="B264" i="20"/>
  <c r="C263" i="20"/>
  <c r="B265" i="20"/>
  <c r="C264" i="20"/>
  <c r="B266" i="20"/>
  <c r="C265" i="20"/>
  <c r="B267" i="20"/>
  <c r="C266" i="20"/>
  <c r="C267" i="20"/>
  <c r="B268" i="20"/>
  <c r="C268" i="20"/>
  <c r="B269" i="20"/>
  <c r="B270" i="20"/>
  <c r="C269" i="20"/>
  <c r="C270" i="20"/>
  <c r="B271" i="20"/>
  <c r="C271" i="20"/>
  <c r="B272" i="20"/>
  <c r="B273" i="20"/>
  <c r="C272" i="20"/>
  <c r="B274" i="20"/>
  <c r="C273" i="20"/>
  <c r="B275" i="20"/>
  <c r="C274" i="20"/>
  <c r="B276" i="20"/>
  <c r="C275" i="20"/>
  <c r="B277" i="20"/>
  <c r="C276" i="20"/>
  <c r="B278" i="20"/>
  <c r="C277" i="20"/>
  <c r="B279" i="20"/>
  <c r="C278" i="20"/>
  <c r="B280" i="20"/>
  <c r="C279" i="20"/>
  <c r="B281" i="20"/>
  <c r="C280" i="20"/>
  <c r="B282" i="20"/>
  <c r="C281" i="20"/>
  <c r="B283" i="20"/>
  <c r="C282" i="20"/>
  <c r="B284" i="20"/>
  <c r="C283" i="20"/>
  <c r="C284" i="20"/>
  <c r="B285" i="20"/>
  <c r="B286" i="20"/>
  <c r="C285" i="20"/>
  <c r="C286" i="20"/>
  <c r="B287" i="20"/>
  <c r="B288" i="20"/>
  <c r="C287" i="20"/>
  <c r="C288" i="20"/>
  <c r="B289" i="20"/>
  <c r="B290" i="20"/>
  <c r="C289" i="20"/>
  <c r="C290" i="20"/>
  <c r="AC48" i="11"/>
  <c r="Z48" i="11"/>
  <c r="AE48" i="11"/>
  <c r="W48" i="11"/>
  <c r="B391" i="20"/>
  <c r="S467" i="20"/>
  <c r="T467" i="20" s="1"/>
  <c r="S461" i="20"/>
  <c r="T461" i="20" s="1"/>
  <c r="S457" i="20"/>
  <c r="T457" i="20" s="1"/>
  <c r="S450" i="20"/>
  <c r="T450" i="20" s="1"/>
  <c r="S447" i="20"/>
  <c r="T447" i="20" s="1"/>
  <c r="C391" i="20"/>
  <c r="B392" i="20"/>
  <c r="C392" i="20"/>
  <c r="B393" i="20"/>
  <c r="B394" i="20"/>
  <c r="C393" i="20"/>
  <c r="B395" i="20"/>
  <c r="C394" i="20"/>
  <c r="C395" i="20"/>
  <c r="B396" i="20"/>
  <c r="B397" i="20"/>
  <c r="C396" i="20"/>
  <c r="B398" i="20"/>
  <c r="C397" i="20"/>
  <c r="C398" i="20"/>
  <c r="B399" i="20"/>
  <c r="B400" i="20"/>
  <c r="C399" i="20"/>
  <c r="B401" i="20"/>
  <c r="C400" i="20"/>
  <c r="B402" i="20"/>
  <c r="C401" i="20"/>
  <c r="B403" i="20"/>
  <c r="C402" i="20"/>
  <c r="C403" i="20"/>
  <c r="B404" i="20"/>
  <c r="B405" i="20"/>
  <c r="C404" i="20"/>
  <c r="C405" i="20"/>
  <c r="B406" i="20"/>
  <c r="C406" i="20"/>
  <c r="B407" i="20"/>
  <c r="C407" i="20"/>
  <c r="B408" i="20"/>
  <c r="B409" i="20"/>
  <c r="C408" i="20"/>
  <c r="C409" i="20"/>
  <c r="B410" i="20"/>
  <c r="C410" i="20"/>
  <c r="B411" i="20"/>
  <c r="C411" i="20"/>
  <c r="B412" i="20"/>
  <c r="C412" i="20"/>
  <c r="B413" i="20"/>
  <c r="C413" i="20"/>
  <c r="B414" i="20"/>
  <c r="C414" i="20"/>
  <c r="B415" i="20"/>
  <c r="B416" i="20"/>
  <c r="C415" i="20"/>
  <c r="C416" i="20"/>
  <c r="B417" i="20"/>
  <c r="C417" i="20"/>
  <c r="B418" i="20"/>
  <c r="B419" i="20"/>
  <c r="C418" i="20"/>
  <c r="C419" i="20"/>
  <c r="B420" i="20"/>
  <c r="B421" i="20"/>
  <c r="C420" i="20"/>
  <c r="B422" i="20"/>
  <c r="C421" i="20"/>
  <c r="B423" i="20"/>
  <c r="C422" i="20"/>
  <c r="C423" i="20"/>
  <c r="B424" i="20"/>
  <c r="B425" i="20"/>
  <c r="C424" i="20"/>
  <c r="C425" i="20"/>
  <c r="B426" i="20"/>
  <c r="C426" i="20"/>
  <c r="B427" i="20"/>
  <c r="C427" i="20"/>
  <c r="B428" i="20"/>
  <c r="B429" i="20"/>
  <c r="C428" i="20"/>
  <c r="C429" i="20"/>
  <c r="B430" i="20"/>
  <c r="C430" i="20"/>
  <c r="B431" i="20"/>
  <c r="B432" i="20"/>
  <c r="C431" i="20"/>
  <c r="B433" i="20"/>
  <c r="C432" i="20"/>
  <c r="C433" i="20"/>
  <c r="B434" i="20"/>
  <c r="B435" i="20"/>
  <c r="C434" i="20"/>
  <c r="C435" i="20"/>
  <c r="B436" i="20"/>
  <c r="B437" i="20"/>
  <c r="C436" i="20"/>
  <c r="C437" i="20"/>
  <c r="B438" i="20"/>
  <c r="C438" i="20"/>
  <c r="B439" i="20"/>
  <c r="B440" i="20"/>
  <c r="C439" i="20"/>
  <c r="C440" i="20"/>
  <c r="B441" i="20"/>
  <c r="C441" i="20"/>
  <c r="B442" i="20"/>
  <c r="C442" i="20"/>
  <c r="B443" i="20"/>
  <c r="C443" i="20"/>
  <c r="B444" i="20"/>
  <c r="C444" i="20"/>
  <c r="B445" i="20"/>
  <c r="C445" i="20"/>
  <c r="B446" i="20"/>
  <c r="B447" i="20"/>
  <c r="C446" i="20"/>
  <c r="B448" i="20"/>
  <c r="C447" i="20"/>
  <c r="B449" i="20"/>
  <c r="C448" i="20"/>
  <c r="B450" i="20"/>
  <c r="C449" i="20"/>
  <c r="B451" i="20"/>
  <c r="C450" i="20"/>
  <c r="B452" i="20"/>
  <c r="C451" i="20"/>
  <c r="B453" i="20"/>
  <c r="C452" i="20"/>
  <c r="C453" i="20"/>
  <c r="B454" i="20"/>
  <c r="B455" i="20"/>
  <c r="C454" i="20"/>
  <c r="C455" i="20"/>
  <c r="B456" i="20"/>
  <c r="B457" i="20"/>
  <c r="C456" i="20"/>
  <c r="C457" i="20"/>
  <c r="B458" i="20"/>
  <c r="B459" i="20"/>
  <c r="C458" i="20"/>
  <c r="B460" i="20"/>
  <c r="C459" i="20"/>
  <c r="B472" i="20"/>
  <c r="C471" i="20"/>
  <c r="B473" i="20"/>
  <c r="C472" i="20"/>
  <c r="B461" i="20"/>
  <c r="C460" i="20"/>
  <c r="B462" i="20"/>
  <c r="C461" i="20"/>
  <c r="C473" i="20"/>
  <c r="B474" i="20"/>
  <c r="C474" i="20"/>
  <c r="B475" i="20"/>
  <c r="B463" i="20"/>
  <c r="C462" i="20"/>
  <c r="B464" i="20"/>
  <c r="C463" i="20"/>
  <c r="B476" i="20"/>
  <c r="C475" i="20"/>
  <c r="B465" i="20"/>
  <c r="C464" i="20"/>
  <c r="C476" i="20"/>
  <c r="B477" i="20"/>
  <c r="C477" i="20"/>
  <c r="B478" i="20"/>
  <c r="B466" i="20"/>
  <c r="C465" i="20"/>
  <c r="B467" i="20"/>
  <c r="C466" i="20"/>
  <c r="C478" i="20"/>
  <c r="B479" i="20"/>
  <c r="C479" i="20"/>
  <c r="B480" i="20"/>
  <c r="B468" i="20"/>
  <c r="C467" i="20"/>
  <c r="B469" i="20"/>
  <c r="C468" i="20"/>
  <c r="B481" i="20"/>
  <c r="C480" i="20"/>
  <c r="B470" i="20"/>
  <c r="C469" i="20"/>
  <c r="C481" i="20"/>
  <c r="B482" i="20"/>
  <c r="C482" i="20"/>
  <c r="C470" i="20"/>
  <c r="F114" i="22" l="1"/>
  <c r="G114" i="22"/>
  <c r="U122" i="22"/>
  <c r="U123" i="22" s="1"/>
  <c r="T122" i="22"/>
  <c r="T123" i="22" s="1"/>
  <c r="S449" i="20"/>
  <c r="T449" i="20" s="1"/>
  <c r="S454" i="20"/>
  <c r="T454" i="20" s="1"/>
  <c r="S453" i="20"/>
  <c r="T453" i="20" s="1"/>
  <c r="S460" i="20"/>
  <c r="T460" i="20" s="1"/>
  <c r="S470" i="20"/>
  <c r="T470" i="20" s="1"/>
  <c r="S78" i="20"/>
  <c r="T78" i="20" s="1"/>
  <c r="S62" i="20"/>
  <c r="T62" i="20" s="1"/>
  <c r="S34" i="20"/>
  <c r="T34" i="20" s="1"/>
  <c r="S101" i="20"/>
  <c r="T101" i="20" s="1"/>
  <c r="S165" i="20"/>
  <c r="T165" i="20" s="1"/>
  <c r="S229" i="20"/>
  <c r="T229" i="20" s="1"/>
  <c r="S142" i="20"/>
  <c r="T142" i="20" s="1"/>
  <c r="S206" i="20"/>
  <c r="T206" i="20" s="1"/>
  <c r="S53" i="20"/>
  <c r="T53" i="20" s="1"/>
  <c r="S254" i="20"/>
  <c r="T254" i="20" s="1"/>
  <c r="S296" i="20"/>
  <c r="T296" i="20" s="1"/>
  <c r="S13" i="5"/>
  <c r="Y48" i="11"/>
  <c r="D9" i="11"/>
  <c r="V48" i="11"/>
  <c r="AA48" i="11"/>
  <c r="P49" i="11"/>
  <c r="AD48" i="11"/>
  <c r="X48" i="11"/>
  <c r="C98" i="11"/>
  <c r="C99" i="11" s="1"/>
  <c r="K106" i="11"/>
  <c r="C44" i="11" s="1"/>
  <c r="S425" i="20"/>
  <c r="T425" i="20" s="1"/>
  <c r="S473" i="20"/>
  <c r="T473" i="20" s="1"/>
  <c r="Q16" i="5"/>
  <c r="P128" i="20" s="1"/>
  <c r="Q128" i="20" s="1"/>
  <c r="F114" i="26"/>
  <c r="G114" i="26"/>
  <c r="R122" i="26"/>
  <c r="R123" i="26" s="1"/>
  <c r="S466" i="20"/>
  <c r="T466" i="20" s="1"/>
  <c r="S464" i="20"/>
  <c r="T464" i="20" s="1"/>
  <c r="S82" i="20"/>
  <c r="T82" i="20" s="1"/>
  <c r="S74" i="20"/>
  <c r="T74" i="20" s="1"/>
  <c r="S66" i="20"/>
  <c r="T66" i="20" s="1"/>
  <c r="S58" i="20"/>
  <c r="T58" i="20" s="1"/>
  <c r="S42" i="20"/>
  <c r="T42" i="20" s="1"/>
  <c r="S26" i="20"/>
  <c r="T26" i="20" s="1"/>
  <c r="S85" i="20"/>
  <c r="T85" i="20" s="1"/>
  <c r="S117" i="20"/>
  <c r="T117" i="20" s="1"/>
  <c r="S149" i="20"/>
  <c r="T149" i="20" s="1"/>
  <c r="S181" i="20"/>
  <c r="T181" i="20" s="1"/>
  <c r="S213" i="20"/>
  <c r="T213" i="20" s="1"/>
  <c r="S94" i="20"/>
  <c r="T94" i="20" s="1"/>
  <c r="S126" i="20"/>
  <c r="T126" i="20" s="1"/>
  <c r="S158" i="20"/>
  <c r="T158" i="20" s="1"/>
  <c r="S190" i="20"/>
  <c r="T190" i="20" s="1"/>
  <c r="S222" i="20"/>
  <c r="T222" i="20" s="1"/>
  <c r="S69" i="20"/>
  <c r="T69" i="20" s="1"/>
  <c r="S37" i="20"/>
  <c r="T37" i="20" s="1"/>
  <c r="S5" i="20"/>
  <c r="T5" i="20" s="1"/>
  <c r="S251" i="20"/>
  <c r="T251" i="20" s="1"/>
  <c r="S257" i="20"/>
  <c r="T257" i="20" s="1"/>
  <c r="S252" i="20"/>
  <c r="T252" i="20" s="1"/>
  <c r="S285" i="20"/>
  <c r="T285" i="20" s="1"/>
  <c r="S326" i="20"/>
  <c r="T326" i="20" s="1"/>
  <c r="S344" i="20"/>
  <c r="T344" i="20" s="1"/>
  <c r="S377" i="20"/>
  <c r="T377" i="20" s="1"/>
  <c r="S422" i="20"/>
  <c r="T422" i="20" s="1"/>
  <c r="S440" i="20"/>
  <c r="T440" i="20" s="1"/>
  <c r="S54" i="20"/>
  <c r="T54" i="20" s="1"/>
  <c r="S46" i="20"/>
  <c r="T46" i="20" s="1"/>
  <c r="S38" i="20"/>
  <c r="T38" i="20" s="1"/>
  <c r="S30" i="20"/>
  <c r="T30" i="20" s="1"/>
  <c r="S22" i="20"/>
  <c r="T22" i="20" s="1"/>
  <c r="S10" i="20"/>
  <c r="T10" i="20" s="1"/>
  <c r="S93" i="20"/>
  <c r="T93" i="20" s="1"/>
  <c r="S109" i="20"/>
  <c r="T109" i="20" s="1"/>
  <c r="S125" i="20"/>
  <c r="T125" i="20" s="1"/>
  <c r="S141" i="20"/>
  <c r="T141" i="20" s="1"/>
  <c r="S157" i="20"/>
  <c r="T157" i="20" s="1"/>
  <c r="S173" i="20"/>
  <c r="T173" i="20" s="1"/>
  <c r="S189" i="20"/>
  <c r="T189" i="20" s="1"/>
  <c r="S205" i="20"/>
  <c r="T205" i="20" s="1"/>
  <c r="S221" i="20"/>
  <c r="T221" i="20" s="1"/>
  <c r="S237" i="20"/>
  <c r="T237" i="20" s="1"/>
  <c r="S102" i="20"/>
  <c r="T102" i="20" s="1"/>
  <c r="S118" i="20"/>
  <c r="T118" i="20" s="1"/>
  <c r="S134" i="20"/>
  <c r="T134" i="20" s="1"/>
  <c r="S150" i="20"/>
  <c r="T150" i="20" s="1"/>
  <c r="S166" i="20"/>
  <c r="T166" i="20" s="1"/>
  <c r="S182" i="20"/>
  <c r="T182" i="20" s="1"/>
  <c r="S198" i="20"/>
  <c r="T198" i="20" s="1"/>
  <c r="S214" i="20"/>
  <c r="T214" i="20" s="1"/>
  <c r="S230" i="20"/>
  <c r="T230" i="20" s="1"/>
  <c r="S77" i="20"/>
  <c r="T77" i="20" s="1"/>
  <c r="S61" i="20"/>
  <c r="T61" i="20" s="1"/>
  <c r="S45" i="20"/>
  <c r="T45" i="20" s="1"/>
  <c r="S29" i="20"/>
  <c r="T29" i="20" s="1"/>
  <c r="S13" i="20"/>
  <c r="T13" i="20" s="1"/>
  <c r="S243" i="20"/>
  <c r="T243" i="20" s="1"/>
  <c r="S266" i="20"/>
  <c r="T266" i="20" s="1"/>
  <c r="S260" i="20"/>
  <c r="T260" i="20" s="1"/>
  <c r="S274" i="20"/>
  <c r="T274" i="20" s="1"/>
  <c r="S273" i="20"/>
  <c r="T273" i="20" s="1"/>
  <c r="S279" i="20"/>
  <c r="T279" i="20" s="1"/>
  <c r="S300" i="20"/>
  <c r="T300" i="20" s="1"/>
  <c r="S305" i="20"/>
  <c r="T305" i="20" s="1"/>
  <c r="S320" i="20"/>
  <c r="T320" i="20" s="1"/>
  <c r="S350" i="20"/>
  <c r="T350" i="20" s="1"/>
  <c r="S353" i="20"/>
  <c r="T353" i="20" s="1"/>
  <c r="S368" i="20"/>
  <c r="T368" i="20" s="1"/>
  <c r="S398" i="20"/>
  <c r="T398" i="20" s="1"/>
  <c r="S401" i="20"/>
  <c r="T401" i="20" s="1"/>
  <c r="S416" i="20"/>
  <c r="T416" i="20" s="1"/>
  <c r="S446" i="20"/>
  <c r="T446" i="20" s="1"/>
  <c r="O16" i="5"/>
  <c r="N125" i="20" s="1"/>
  <c r="O125" i="20" s="1"/>
  <c r="P469" i="20"/>
  <c r="Q469" i="20" s="1"/>
  <c r="P465" i="20"/>
  <c r="Q465" i="20" s="1"/>
  <c r="P461" i="20"/>
  <c r="Q461" i="20" s="1"/>
  <c r="P457" i="20"/>
  <c r="Q457" i="20" s="1"/>
  <c r="P453" i="20"/>
  <c r="Q453" i="20" s="1"/>
  <c r="P449" i="20"/>
  <c r="Q449" i="20" s="1"/>
  <c r="P481" i="20"/>
  <c r="Q481" i="20" s="1"/>
  <c r="P477" i="20"/>
  <c r="Q477" i="20" s="1"/>
  <c r="P473" i="20"/>
  <c r="Q473" i="20" s="1"/>
  <c r="P445" i="20"/>
  <c r="Q445" i="20" s="1"/>
  <c r="P441" i="20"/>
  <c r="Q441" i="20" s="1"/>
  <c r="P437" i="20"/>
  <c r="Q437" i="20" s="1"/>
  <c r="P433" i="20"/>
  <c r="Q433" i="20" s="1"/>
  <c r="P429" i="20"/>
  <c r="Q429" i="20" s="1"/>
  <c r="P425" i="20"/>
  <c r="Q425" i="20" s="1"/>
  <c r="P421" i="20"/>
  <c r="Q421" i="20" s="1"/>
  <c r="P417" i="20"/>
  <c r="Q417" i="20" s="1"/>
  <c r="P413" i="20"/>
  <c r="Q413" i="20" s="1"/>
  <c r="P409" i="20"/>
  <c r="Q409" i="20" s="1"/>
  <c r="P405" i="20"/>
  <c r="Q405" i="20" s="1"/>
  <c r="P401" i="20"/>
  <c r="Q401" i="20" s="1"/>
  <c r="P397" i="20"/>
  <c r="Q397" i="20" s="1"/>
  <c r="P393" i="20"/>
  <c r="Q393" i="20" s="1"/>
  <c r="P389" i="20"/>
  <c r="Q389" i="20" s="1"/>
  <c r="P384" i="20"/>
  <c r="Q384" i="20" s="1"/>
  <c r="P380" i="20"/>
  <c r="Q380" i="20" s="1"/>
  <c r="P376" i="20"/>
  <c r="Q376" i="20" s="1"/>
  <c r="P373" i="20"/>
  <c r="Q373" i="20" s="1"/>
  <c r="P369" i="20"/>
  <c r="Q369" i="20" s="1"/>
  <c r="P365" i="20"/>
  <c r="Q365" i="20" s="1"/>
  <c r="P360" i="20"/>
  <c r="Q360" i="20" s="1"/>
  <c r="P356" i="20"/>
  <c r="Q356" i="20" s="1"/>
  <c r="P352" i="20"/>
  <c r="Q352" i="20" s="1"/>
  <c r="P349" i="20"/>
  <c r="Q349" i="20" s="1"/>
  <c r="P345" i="20"/>
  <c r="Q345" i="20" s="1"/>
  <c r="P341" i="20"/>
  <c r="Q341" i="20" s="1"/>
  <c r="P336" i="20"/>
  <c r="Q336" i="20" s="1"/>
  <c r="P332" i="20"/>
  <c r="Q332" i="20" s="1"/>
  <c r="P328" i="20"/>
  <c r="Q328" i="20" s="1"/>
  <c r="P325" i="20"/>
  <c r="Q325" i="20" s="1"/>
  <c r="P321" i="20"/>
  <c r="Q321" i="20" s="1"/>
  <c r="P317" i="20"/>
  <c r="Q317" i="20" s="1"/>
  <c r="P470" i="20"/>
  <c r="Q470" i="20" s="1"/>
  <c r="P466" i="20"/>
  <c r="Q466" i="20" s="1"/>
  <c r="P462" i="20"/>
  <c r="Q462" i="20" s="1"/>
  <c r="P458" i="20"/>
  <c r="Q458" i="20" s="1"/>
  <c r="P456" i="20"/>
  <c r="Q456" i="20" s="1"/>
  <c r="P454" i="20"/>
  <c r="Q454" i="20" s="1"/>
  <c r="P452" i="20"/>
  <c r="Q452" i="20" s="1"/>
  <c r="P450" i="20"/>
  <c r="Q450" i="20" s="1"/>
  <c r="P448" i="20"/>
  <c r="Q448" i="20" s="1"/>
  <c r="P482" i="20"/>
  <c r="Q482" i="20" s="1"/>
  <c r="P480" i="20"/>
  <c r="Q480" i="20" s="1"/>
  <c r="P478" i="20"/>
  <c r="Q478" i="20" s="1"/>
  <c r="P476" i="20"/>
  <c r="Q476" i="20" s="1"/>
  <c r="P474" i="20"/>
  <c r="Q474" i="20" s="1"/>
  <c r="P472" i="20"/>
  <c r="Q472" i="20" s="1"/>
  <c r="P446" i="20"/>
  <c r="Q446" i="20" s="1"/>
  <c r="P444" i="20"/>
  <c r="Q444" i="20" s="1"/>
  <c r="P442" i="20"/>
  <c r="Q442" i="20" s="1"/>
  <c r="P440" i="20"/>
  <c r="Q440" i="20" s="1"/>
  <c r="P438" i="20"/>
  <c r="Q438" i="20" s="1"/>
  <c r="P436" i="20"/>
  <c r="Q436" i="20" s="1"/>
  <c r="P434" i="20"/>
  <c r="Q434" i="20" s="1"/>
  <c r="P432" i="20"/>
  <c r="Q432" i="20" s="1"/>
  <c r="P430" i="20"/>
  <c r="Q430" i="20" s="1"/>
  <c r="P428" i="20"/>
  <c r="Q428" i="20" s="1"/>
  <c r="P426" i="20"/>
  <c r="Q426" i="20" s="1"/>
  <c r="P424" i="20"/>
  <c r="Q424" i="20" s="1"/>
  <c r="P422" i="20"/>
  <c r="Q422" i="20" s="1"/>
  <c r="P420" i="20"/>
  <c r="Q420" i="20" s="1"/>
  <c r="P418" i="20"/>
  <c r="Q418" i="20" s="1"/>
  <c r="P416" i="20"/>
  <c r="Q416" i="20" s="1"/>
  <c r="P414" i="20"/>
  <c r="Q414" i="20" s="1"/>
  <c r="P412" i="20"/>
  <c r="Q412" i="20" s="1"/>
  <c r="P410" i="20"/>
  <c r="Q410" i="20" s="1"/>
  <c r="P408" i="20"/>
  <c r="Q408" i="20" s="1"/>
  <c r="P406" i="20"/>
  <c r="Q406" i="20" s="1"/>
  <c r="P404" i="20"/>
  <c r="Q404" i="20" s="1"/>
  <c r="P402" i="20"/>
  <c r="Q402" i="20" s="1"/>
  <c r="P400" i="20"/>
  <c r="Q400" i="20" s="1"/>
  <c r="P398" i="20"/>
  <c r="Q398" i="20" s="1"/>
  <c r="P396" i="20"/>
  <c r="Q396" i="20" s="1"/>
  <c r="P394" i="20"/>
  <c r="Q394" i="20" s="1"/>
  <c r="P392" i="20"/>
  <c r="Q392" i="20" s="1"/>
  <c r="P390" i="20"/>
  <c r="Q390" i="20" s="1"/>
  <c r="P388" i="20"/>
  <c r="Q388" i="20" s="1"/>
  <c r="P387" i="20"/>
  <c r="Q387" i="20" s="1"/>
  <c r="P385" i="20"/>
  <c r="Q385" i="20" s="1"/>
  <c r="P383" i="20"/>
  <c r="Q383" i="20" s="1"/>
  <c r="P381" i="20"/>
  <c r="Q381" i="20" s="1"/>
  <c r="P379" i="20"/>
  <c r="Q379" i="20" s="1"/>
  <c r="P377" i="20"/>
  <c r="Q377" i="20" s="1"/>
  <c r="P374" i="20"/>
  <c r="Q374" i="20" s="1"/>
  <c r="P372" i="20"/>
  <c r="Q372" i="20" s="1"/>
  <c r="P370" i="20"/>
  <c r="Q370" i="20" s="1"/>
  <c r="P368" i="20"/>
  <c r="Q368" i="20" s="1"/>
  <c r="P366" i="20"/>
  <c r="Q366" i="20" s="1"/>
  <c r="P364" i="20"/>
  <c r="Q364" i="20" s="1"/>
  <c r="P363" i="20"/>
  <c r="Q363" i="20" s="1"/>
  <c r="P361" i="20"/>
  <c r="Q361" i="20" s="1"/>
  <c r="P359" i="20"/>
  <c r="Q359" i="20" s="1"/>
  <c r="P357" i="20"/>
  <c r="Q357" i="20" s="1"/>
  <c r="P355" i="20"/>
  <c r="Q355" i="20" s="1"/>
  <c r="P353" i="20"/>
  <c r="Q353" i="20" s="1"/>
  <c r="P350" i="20"/>
  <c r="Q350" i="20" s="1"/>
  <c r="P348" i="20"/>
  <c r="Q348" i="20" s="1"/>
  <c r="P346" i="20"/>
  <c r="Q346" i="20" s="1"/>
  <c r="P344" i="20"/>
  <c r="Q344" i="20" s="1"/>
  <c r="P342" i="20"/>
  <c r="Q342" i="20" s="1"/>
  <c r="P340" i="20"/>
  <c r="Q340" i="20" s="1"/>
  <c r="P339" i="20"/>
  <c r="Q339" i="20" s="1"/>
  <c r="P337" i="20"/>
  <c r="Q337" i="20" s="1"/>
  <c r="P335" i="20"/>
  <c r="Q335" i="20" s="1"/>
  <c r="P333" i="20"/>
  <c r="Q333" i="20" s="1"/>
  <c r="P331" i="20"/>
  <c r="Q331" i="20" s="1"/>
  <c r="P329" i="20"/>
  <c r="Q329" i="20" s="1"/>
  <c r="P326" i="20"/>
  <c r="Q326" i="20" s="1"/>
  <c r="P324" i="20"/>
  <c r="Q324" i="20" s="1"/>
  <c r="P322" i="20"/>
  <c r="Q322" i="20" s="1"/>
  <c r="P320" i="20"/>
  <c r="Q320" i="20" s="1"/>
  <c r="P318" i="20"/>
  <c r="Q318" i="20" s="1"/>
  <c r="P316" i="20"/>
  <c r="Q316" i="20" s="1"/>
  <c r="P315" i="20"/>
  <c r="Q315" i="20" s="1"/>
  <c r="P313" i="20"/>
  <c r="Q313" i="20" s="1"/>
  <c r="P311" i="20"/>
  <c r="Q311" i="20" s="1"/>
  <c r="P309" i="20"/>
  <c r="Q309" i="20" s="1"/>
  <c r="P307" i="20"/>
  <c r="Q307" i="20" s="1"/>
  <c r="P305" i="20"/>
  <c r="Q305" i="20" s="1"/>
  <c r="P302" i="20"/>
  <c r="Q302" i="20" s="1"/>
  <c r="P300" i="20"/>
  <c r="Q300" i="20" s="1"/>
  <c r="P298" i="20"/>
  <c r="Q298" i="20" s="1"/>
  <c r="P296" i="20"/>
  <c r="Q296" i="20" s="1"/>
  <c r="P294" i="20"/>
  <c r="Q294" i="20" s="1"/>
  <c r="P292" i="20"/>
  <c r="Q292" i="20" s="1"/>
  <c r="P289" i="20"/>
  <c r="Q289" i="20" s="1"/>
  <c r="P287" i="20"/>
  <c r="Q287" i="20" s="1"/>
  <c r="P285" i="20"/>
  <c r="Q285" i="20" s="1"/>
  <c r="P283" i="20"/>
  <c r="Q283" i="20" s="1"/>
  <c r="P281" i="20"/>
  <c r="Q281" i="20" s="1"/>
  <c r="P279" i="20"/>
  <c r="Q279" i="20" s="1"/>
  <c r="P277" i="20"/>
  <c r="Q277" i="20" s="1"/>
  <c r="P275" i="20"/>
  <c r="Q275" i="20" s="1"/>
  <c r="P273" i="20"/>
  <c r="Q273" i="20" s="1"/>
  <c r="P271" i="20"/>
  <c r="Q271" i="20" s="1"/>
  <c r="P269" i="20"/>
  <c r="Q269" i="20" s="1"/>
  <c r="P267" i="20"/>
  <c r="Q267" i="20" s="1"/>
  <c r="P265" i="20"/>
  <c r="Q265" i="20" s="1"/>
  <c r="P263" i="20"/>
  <c r="Q263" i="20" s="1"/>
  <c r="P261" i="20"/>
  <c r="Q261" i="20" s="1"/>
  <c r="P259" i="20"/>
  <c r="P257" i="20"/>
  <c r="P255" i="20"/>
  <c r="P253" i="20"/>
  <c r="P251" i="20"/>
  <c r="P249" i="20"/>
  <c r="P247" i="20"/>
  <c r="P245" i="20"/>
  <c r="P243" i="20"/>
  <c r="P241" i="20"/>
  <c r="P239" i="20"/>
  <c r="P237" i="20"/>
  <c r="P235" i="20"/>
  <c r="P233" i="20"/>
  <c r="P231" i="20"/>
  <c r="P229" i="20"/>
  <c r="P227" i="20"/>
  <c r="P225" i="20"/>
  <c r="P223" i="20"/>
  <c r="P221" i="20"/>
  <c r="P219" i="20"/>
  <c r="P217" i="20"/>
  <c r="P215" i="20"/>
  <c r="P213" i="20"/>
  <c r="P211" i="20"/>
  <c r="P209" i="20"/>
  <c r="P207" i="20"/>
  <c r="P205" i="20"/>
  <c r="P203" i="20"/>
  <c r="P201" i="20"/>
  <c r="P199" i="20"/>
  <c r="P197" i="20"/>
  <c r="P195" i="20"/>
  <c r="P193" i="20"/>
  <c r="P191" i="20"/>
  <c r="P189" i="20"/>
  <c r="P187" i="20"/>
  <c r="P185" i="20"/>
  <c r="P183" i="20"/>
  <c r="P181" i="20"/>
  <c r="P179" i="20"/>
  <c r="P177" i="20"/>
  <c r="P175" i="20"/>
  <c r="P173" i="20"/>
  <c r="P171" i="20"/>
  <c r="P169" i="20"/>
  <c r="P167" i="20"/>
  <c r="P165" i="20"/>
  <c r="P163" i="20"/>
  <c r="P161" i="20"/>
  <c r="P159" i="20"/>
  <c r="P157" i="20"/>
  <c r="P155" i="20"/>
  <c r="P153" i="20"/>
  <c r="P151" i="20"/>
  <c r="P149" i="20"/>
  <c r="P147" i="20"/>
  <c r="P146" i="20"/>
  <c r="P145" i="20"/>
  <c r="P312" i="20"/>
  <c r="Q312" i="20" s="1"/>
  <c r="P310" i="20"/>
  <c r="Q310" i="20" s="1"/>
  <c r="P308" i="20"/>
  <c r="Q308" i="20" s="1"/>
  <c r="P306" i="20"/>
  <c r="Q306" i="20" s="1"/>
  <c r="P304" i="20"/>
  <c r="Q304" i="20" s="1"/>
  <c r="P303" i="20"/>
  <c r="Q303" i="20" s="1"/>
  <c r="P301" i="20"/>
  <c r="Q301" i="20" s="1"/>
  <c r="P299" i="20"/>
  <c r="Q299" i="20" s="1"/>
  <c r="P297" i="20"/>
  <c r="Q297" i="20" s="1"/>
  <c r="P295" i="20"/>
  <c r="Q295" i="20" s="1"/>
  <c r="P293" i="20"/>
  <c r="Q293" i="20" s="1"/>
  <c r="P291" i="20"/>
  <c r="Q291" i="20" s="1"/>
  <c r="P290" i="20"/>
  <c r="Q290" i="20" s="1"/>
  <c r="P288" i="20"/>
  <c r="Q288" i="20" s="1"/>
  <c r="P286" i="20"/>
  <c r="Q286" i="20" s="1"/>
  <c r="P284" i="20"/>
  <c r="Q284" i="20" s="1"/>
  <c r="P282" i="20"/>
  <c r="Q282" i="20" s="1"/>
  <c r="P280" i="20"/>
  <c r="Q280" i="20" s="1"/>
  <c r="P278" i="20"/>
  <c r="Q278" i="20" s="1"/>
  <c r="P276" i="20"/>
  <c r="Q276" i="20" s="1"/>
  <c r="P274" i="20"/>
  <c r="Q274" i="20" s="1"/>
  <c r="P272" i="20"/>
  <c r="Q272" i="20" s="1"/>
  <c r="P270" i="20"/>
  <c r="Q270" i="20" s="1"/>
  <c r="P268" i="20"/>
  <c r="Q268" i="20" s="1"/>
  <c r="P266" i="20"/>
  <c r="Q266" i="20" s="1"/>
  <c r="P264" i="20"/>
  <c r="Q264" i="20" s="1"/>
  <c r="P262" i="20"/>
  <c r="Q262" i="20" s="1"/>
  <c r="P260" i="20"/>
  <c r="Q260" i="20" s="1"/>
  <c r="P258" i="20"/>
  <c r="P256" i="20"/>
  <c r="P254" i="20"/>
  <c r="P252" i="20"/>
  <c r="P250" i="20"/>
  <c r="P248" i="20"/>
  <c r="P246" i="20"/>
  <c r="P244" i="20"/>
  <c r="P242" i="20"/>
  <c r="P240" i="20"/>
  <c r="P238" i="20"/>
  <c r="P236" i="20"/>
  <c r="P234" i="20"/>
  <c r="P232" i="20"/>
  <c r="P230" i="20"/>
  <c r="P228" i="20"/>
  <c r="P226" i="20"/>
  <c r="P224" i="20"/>
  <c r="P222" i="20"/>
  <c r="P220" i="20"/>
  <c r="P218" i="20"/>
  <c r="P216" i="20"/>
  <c r="P214" i="20"/>
  <c r="P212" i="20"/>
  <c r="P210" i="20"/>
  <c r="P208" i="20"/>
  <c r="P206" i="20"/>
  <c r="P204" i="20"/>
  <c r="P202" i="20"/>
  <c r="P200" i="20"/>
  <c r="P198" i="20"/>
  <c r="P196" i="20"/>
  <c r="P194" i="20"/>
  <c r="P192" i="20"/>
  <c r="P190" i="20"/>
  <c r="P188" i="20"/>
  <c r="P186" i="20"/>
  <c r="P184" i="20"/>
  <c r="P182" i="20"/>
  <c r="P180" i="20"/>
  <c r="P178" i="20"/>
  <c r="P176" i="20"/>
  <c r="P174" i="20"/>
  <c r="P172" i="20"/>
  <c r="P170" i="20"/>
  <c r="P168" i="20"/>
  <c r="P166" i="20"/>
  <c r="P164" i="20"/>
  <c r="P162" i="20"/>
  <c r="P160" i="20"/>
  <c r="P158" i="20"/>
  <c r="P156" i="20"/>
  <c r="P154" i="20"/>
  <c r="P152" i="20"/>
  <c r="P150" i="20"/>
  <c r="P148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N470" i="20"/>
  <c r="O470" i="20" s="1"/>
  <c r="N469" i="20"/>
  <c r="O469" i="20" s="1"/>
  <c r="N468" i="20"/>
  <c r="O468" i="20" s="1"/>
  <c r="N467" i="20"/>
  <c r="O467" i="20" s="1"/>
  <c r="N466" i="20"/>
  <c r="O466" i="20" s="1"/>
  <c r="N465" i="20"/>
  <c r="O465" i="20" s="1"/>
  <c r="N464" i="20"/>
  <c r="O464" i="20" s="1"/>
  <c r="N463" i="20"/>
  <c r="O463" i="20" s="1"/>
  <c r="N462" i="20"/>
  <c r="O462" i="20" s="1"/>
  <c r="N461" i="20"/>
  <c r="O461" i="20" s="1"/>
  <c r="N460" i="20"/>
  <c r="O460" i="20" s="1"/>
  <c r="N459" i="20"/>
  <c r="O459" i="20" s="1"/>
  <c r="N458" i="20"/>
  <c r="O458" i="20" s="1"/>
  <c r="N457" i="20"/>
  <c r="O457" i="20" s="1"/>
  <c r="N456" i="20"/>
  <c r="O456" i="20" s="1"/>
  <c r="N455" i="20"/>
  <c r="O455" i="20" s="1"/>
  <c r="N454" i="20"/>
  <c r="O454" i="20" s="1"/>
  <c r="N453" i="20"/>
  <c r="O453" i="20" s="1"/>
  <c r="N452" i="20"/>
  <c r="O452" i="20" s="1"/>
  <c r="N451" i="20"/>
  <c r="O451" i="20" s="1"/>
  <c r="N450" i="20"/>
  <c r="O450" i="20" s="1"/>
  <c r="N449" i="20"/>
  <c r="O449" i="20" s="1"/>
  <c r="N448" i="20"/>
  <c r="O448" i="20" s="1"/>
  <c r="N447" i="20"/>
  <c r="O447" i="20" s="1"/>
  <c r="N482" i="20"/>
  <c r="O482" i="20" s="1"/>
  <c r="N481" i="20"/>
  <c r="O481" i="20" s="1"/>
  <c r="N480" i="20"/>
  <c r="O480" i="20" s="1"/>
  <c r="N479" i="20"/>
  <c r="O479" i="20" s="1"/>
  <c r="N478" i="20"/>
  <c r="O478" i="20" s="1"/>
  <c r="N477" i="20"/>
  <c r="O477" i="20" s="1"/>
  <c r="N476" i="20"/>
  <c r="O476" i="20" s="1"/>
  <c r="N475" i="20"/>
  <c r="O475" i="20" s="1"/>
  <c r="N474" i="20"/>
  <c r="O474" i="20" s="1"/>
  <c r="N473" i="20"/>
  <c r="O473" i="20" s="1"/>
  <c r="N472" i="20"/>
  <c r="O472" i="20" s="1"/>
  <c r="N471" i="20"/>
  <c r="O471" i="20" s="1"/>
  <c r="N446" i="20"/>
  <c r="O446" i="20" s="1"/>
  <c r="N445" i="20"/>
  <c r="O445" i="20" s="1"/>
  <c r="N444" i="20"/>
  <c r="O444" i="20" s="1"/>
  <c r="N443" i="20"/>
  <c r="O443" i="20" s="1"/>
  <c r="N442" i="20"/>
  <c r="O442" i="20" s="1"/>
  <c r="N441" i="20"/>
  <c r="O441" i="20" s="1"/>
  <c r="N440" i="20"/>
  <c r="O440" i="20" s="1"/>
  <c r="N439" i="20"/>
  <c r="O439" i="20" s="1"/>
  <c r="N438" i="20"/>
  <c r="O438" i="20" s="1"/>
  <c r="N437" i="20"/>
  <c r="O437" i="20" s="1"/>
  <c r="N436" i="20"/>
  <c r="O436" i="20" s="1"/>
  <c r="N435" i="20"/>
  <c r="O435" i="20" s="1"/>
  <c r="N434" i="20"/>
  <c r="O434" i="20" s="1"/>
  <c r="N433" i="20"/>
  <c r="O433" i="20" s="1"/>
  <c r="N432" i="20"/>
  <c r="O432" i="20" s="1"/>
  <c r="N431" i="20"/>
  <c r="O431" i="20" s="1"/>
  <c r="N430" i="20"/>
  <c r="O430" i="20" s="1"/>
  <c r="N429" i="20"/>
  <c r="O429" i="20" s="1"/>
  <c r="N428" i="20"/>
  <c r="O428" i="20" s="1"/>
  <c r="N427" i="20"/>
  <c r="O427" i="20" s="1"/>
  <c r="N426" i="20"/>
  <c r="O426" i="20" s="1"/>
  <c r="N425" i="20"/>
  <c r="O425" i="20" s="1"/>
  <c r="N424" i="20"/>
  <c r="O424" i="20" s="1"/>
  <c r="N423" i="20"/>
  <c r="O423" i="20" s="1"/>
  <c r="N422" i="20"/>
  <c r="O422" i="20" s="1"/>
  <c r="N421" i="20"/>
  <c r="O421" i="20" s="1"/>
  <c r="N420" i="20"/>
  <c r="O420" i="20" s="1"/>
  <c r="N419" i="20"/>
  <c r="O419" i="20" s="1"/>
  <c r="N418" i="20"/>
  <c r="O418" i="20" s="1"/>
  <c r="N417" i="20"/>
  <c r="O417" i="20" s="1"/>
  <c r="N416" i="20"/>
  <c r="O416" i="20" s="1"/>
  <c r="N415" i="20"/>
  <c r="O415" i="20" s="1"/>
  <c r="N414" i="20"/>
  <c r="O414" i="20" s="1"/>
  <c r="N413" i="20"/>
  <c r="O413" i="20" s="1"/>
  <c r="N412" i="20"/>
  <c r="O412" i="20" s="1"/>
  <c r="N411" i="20"/>
  <c r="O411" i="20" s="1"/>
  <c r="N410" i="20"/>
  <c r="O410" i="20" s="1"/>
  <c r="N409" i="20"/>
  <c r="O409" i="20" s="1"/>
  <c r="N408" i="20"/>
  <c r="O408" i="20" s="1"/>
  <c r="N407" i="20"/>
  <c r="O407" i="20" s="1"/>
  <c r="N406" i="20"/>
  <c r="O406" i="20" s="1"/>
  <c r="N405" i="20"/>
  <c r="O405" i="20" s="1"/>
  <c r="N404" i="20"/>
  <c r="O404" i="20" s="1"/>
  <c r="N403" i="20"/>
  <c r="O403" i="20" s="1"/>
  <c r="N402" i="20"/>
  <c r="O402" i="20" s="1"/>
  <c r="N401" i="20"/>
  <c r="O401" i="20" s="1"/>
  <c r="N400" i="20"/>
  <c r="O400" i="20" s="1"/>
  <c r="N387" i="20"/>
  <c r="O387" i="20" s="1"/>
  <c r="N386" i="20"/>
  <c r="O386" i="20" s="1"/>
  <c r="N385" i="20"/>
  <c r="O385" i="20" s="1"/>
  <c r="N384" i="20"/>
  <c r="O384" i="20" s="1"/>
  <c r="N383" i="20"/>
  <c r="O383" i="20" s="1"/>
  <c r="N382" i="20"/>
  <c r="O382" i="20" s="1"/>
  <c r="N381" i="20"/>
  <c r="O381" i="20" s="1"/>
  <c r="N380" i="20"/>
  <c r="O380" i="20" s="1"/>
  <c r="N379" i="20"/>
  <c r="O379" i="20" s="1"/>
  <c r="N378" i="20"/>
  <c r="O378" i="20" s="1"/>
  <c r="N377" i="20"/>
  <c r="O377" i="20" s="1"/>
  <c r="N376" i="20"/>
  <c r="O376" i="20" s="1"/>
  <c r="N363" i="20"/>
  <c r="O363" i="20" s="1"/>
  <c r="N362" i="20"/>
  <c r="O362" i="20" s="1"/>
  <c r="N361" i="20"/>
  <c r="O361" i="20" s="1"/>
  <c r="N360" i="20"/>
  <c r="O360" i="20" s="1"/>
  <c r="N359" i="20"/>
  <c r="O359" i="20" s="1"/>
  <c r="N358" i="20"/>
  <c r="O358" i="20" s="1"/>
  <c r="N357" i="20"/>
  <c r="O357" i="20" s="1"/>
  <c r="N356" i="20"/>
  <c r="O356" i="20" s="1"/>
  <c r="N355" i="20"/>
  <c r="O355" i="20" s="1"/>
  <c r="N354" i="20"/>
  <c r="O354" i="20" s="1"/>
  <c r="N353" i="20"/>
  <c r="O353" i="20" s="1"/>
  <c r="N352" i="20"/>
  <c r="O352" i="20" s="1"/>
  <c r="N339" i="20"/>
  <c r="O339" i="20" s="1"/>
  <c r="N338" i="20"/>
  <c r="O338" i="20" s="1"/>
  <c r="N337" i="20"/>
  <c r="O337" i="20" s="1"/>
  <c r="N336" i="20"/>
  <c r="O336" i="20" s="1"/>
  <c r="N335" i="20"/>
  <c r="O335" i="20" s="1"/>
  <c r="N334" i="20"/>
  <c r="O334" i="20" s="1"/>
  <c r="N333" i="20"/>
  <c r="O333" i="20" s="1"/>
  <c r="N332" i="20"/>
  <c r="O332" i="20" s="1"/>
  <c r="N331" i="20"/>
  <c r="O331" i="20" s="1"/>
  <c r="N330" i="20"/>
  <c r="O330" i="20" s="1"/>
  <c r="N329" i="20"/>
  <c r="O329" i="20" s="1"/>
  <c r="N328" i="20"/>
  <c r="O328" i="20" s="1"/>
  <c r="N315" i="20"/>
  <c r="O315" i="20" s="1"/>
  <c r="N314" i="20"/>
  <c r="O314" i="20" s="1"/>
  <c r="N313" i="20"/>
  <c r="O313" i="20" s="1"/>
  <c r="N312" i="20"/>
  <c r="O312" i="20" s="1"/>
  <c r="N311" i="20"/>
  <c r="O311" i="20" s="1"/>
  <c r="N310" i="20"/>
  <c r="O310" i="20" s="1"/>
  <c r="N309" i="20"/>
  <c r="O309" i="20" s="1"/>
  <c r="N308" i="20"/>
  <c r="O308" i="20" s="1"/>
  <c r="N307" i="20"/>
  <c r="O307" i="20" s="1"/>
  <c r="N306" i="20"/>
  <c r="O306" i="20" s="1"/>
  <c r="N305" i="20"/>
  <c r="O305" i="20" s="1"/>
  <c r="N304" i="20"/>
  <c r="O304" i="20" s="1"/>
  <c r="N290" i="20"/>
  <c r="O290" i="20" s="1"/>
  <c r="N289" i="20"/>
  <c r="O289" i="20" s="1"/>
  <c r="N288" i="20"/>
  <c r="O288" i="20" s="1"/>
  <c r="N287" i="20"/>
  <c r="O287" i="20" s="1"/>
  <c r="N286" i="20"/>
  <c r="O286" i="20" s="1"/>
  <c r="N285" i="20"/>
  <c r="O285" i="20" s="1"/>
  <c r="N284" i="20"/>
  <c r="O284" i="20" s="1"/>
  <c r="N283" i="20"/>
  <c r="O283" i="20" s="1"/>
  <c r="N282" i="20"/>
  <c r="O282" i="20" s="1"/>
  <c r="N281" i="20"/>
  <c r="O281" i="20" s="1"/>
  <c r="N280" i="20"/>
  <c r="O280" i="20" s="1"/>
  <c r="N279" i="20"/>
  <c r="O279" i="20" s="1"/>
  <c r="N278" i="20"/>
  <c r="O278" i="20" s="1"/>
  <c r="N277" i="20"/>
  <c r="O277" i="20" s="1"/>
  <c r="N276" i="20"/>
  <c r="O276" i="20" s="1"/>
  <c r="N275" i="20"/>
  <c r="O275" i="20" s="1"/>
  <c r="N274" i="20"/>
  <c r="O274" i="20" s="1"/>
  <c r="N273" i="20"/>
  <c r="O273" i="20" s="1"/>
  <c r="N272" i="20"/>
  <c r="O272" i="20" s="1"/>
  <c r="N271" i="20"/>
  <c r="O271" i="20" s="1"/>
  <c r="N270" i="20"/>
  <c r="O270" i="20" s="1"/>
  <c r="N269" i="20"/>
  <c r="O269" i="20" s="1"/>
  <c r="N268" i="20"/>
  <c r="O268" i="20" s="1"/>
  <c r="N267" i="20"/>
  <c r="O267" i="20" s="1"/>
  <c r="N266" i="20"/>
  <c r="O266" i="20" s="1"/>
  <c r="N265" i="20"/>
  <c r="O265" i="20" s="1"/>
  <c r="N264" i="20"/>
  <c r="O264" i="20" s="1"/>
  <c r="N263" i="20"/>
  <c r="O263" i="20" s="1"/>
  <c r="N262" i="20"/>
  <c r="O262" i="20" s="1"/>
  <c r="N261" i="20"/>
  <c r="O261" i="20" s="1"/>
  <c r="N260" i="20"/>
  <c r="O260" i="20" s="1"/>
  <c r="N259" i="20"/>
  <c r="O259" i="20" s="1"/>
  <c r="N258" i="20"/>
  <c r="O258" i="20" s="1"/>
  <c r="N257" i="20"/>
  <c r="O257" i="20" s="1"/>
  <c r="N256" i="20"/>
  <c r="O256" i="20" s="1"/>
  <c r="N255" i="20"/>
  <c r="O255" i="20" s="1"/>
  <c r="N254" i="20"/>
  <c r="O254" i="20" s="1"/>
  <c r="N399" i="20"/>
  <c r="O399" i="20" s="1"/>
  <c r="N398" i="20"/>
  <c r="O398" i="20" s="1"/>
  <c r="N397" i="20"/>
  <c r="O397" i="20" s="1"/>
  <c r="N396" i="20"/>
  <c r="O396" i="20" s="1"/>
  <c r="N395" i="20"/>
  <c r="O395" i="20" s="1"/>
  <c r="N394" i="20"/>
  <c r="O394" i="20" s="1"/>
  <c r="N393" i="20"/>
  <c r="O393" i="20" s="1"/>
  <c r="N392" i="20"/>
  <c r="O392" i="20" s="1"/>
  <c r="N391" i="20"/>
  <c r="O391" i="20" s="1"/>
  <c r="N390" i="20"/>
  <c r="O390" i="20" s="1"/>
  <c r="N389" i="20"/>
  <c r="O389" i="20" s="1"/>
  <c r="N388" i="20"/>
  <c r="O388" i="20" s="1"/>
  <c r="N375" i="20"/>
  <c r="O375" i="20" s="1"/>
  <c r="N374" i="20"/>
  <c r="O374" i="20" s="1"/>
  <c r="N373" i="20"/>
  <c r="O373" i="20" s="1"/>
  <c r="N372" i="20"/>
  <c r="O372" i="20" s="1"/>
  <c r="N371" i="20"/>
  <c r="O371" i="20" s="1"/>
  <c r="N370" i="20"/>
  <c r="O370" i="20" s="1"/>
  <c r="N369" i="20"/>
  <c r="O369" i="20" s="1"/>
  <c r="N368" i="20"/>
  <c r="O368" i="20" s="1"/>
  <c r="N367" i="20"/>
  <c r="O367" i="20" s="1"/>
  <c r="N366" i="20"/>
  <c r="O366" i="20" s="1"/>
  <c r="N365" i="20"/>
  <c r="O365" i="20" s="1"/>
  <c r="N364" i="20"/>
  <c r="O364" i="20" s="1"/>
  <c r="N351" i="20"/>
  <c r="O351" i="20" s="1"/>
  <c r="N350" i="20"/>
  <c r="O350" i="20" s="1"/>
  <c r="N349" i="20"/>
  <c r="O349" i="20" s="1"/>
  <c r="N348" i="20"/>
  <c r="O348" i="20" s="1"/>
  <c r="N347" i="20"/>
  <c r="O347" i="20" s="1"/>
  <c r="N346" i="20"/>
  <c r="O346" i="20" s="1"/>
  <c r="N345" i="20"/>
  <c r="O345" i="20" s="1"/>
  <c r="N344" i="20"/>
  <c r="O344" i="20" s="1"/>
  <c r="N343" i="20"/>
  <c r="O343" i="20" s="1"/>
  <c r="N342" i="20"/>
  <c r="O342" i="20" s="1"/>
  <c r="N341" i="20"/>
  <c r="O341" i="20" s="1"/>
  <c r="N340" i="20"/>
  <c r="O340" i="20" s="1"/>
  <c r="N327" i="20"/>
  <c r="O327" i="20" s="1"/>
  <c r="N326" i="20"/>
  <c r="O326" i="20" s="1"/>
  <c r="N325" i="20"/>
  <c r="O325" i="20" s="1"/>
  <c r="N324" i="20"/>
  <c r="O324" i="20" s="1"/>
  <c r="N323" i="20"/>
  <c r="O323" i="20" s="1"/>
  <c r="N322" i="20"/>
  <c r="O322" i="20" s="1"/>
  <c r="N321" i="20"/>
  <c r="O321" i="20" s="1"/>
  <c r="N320" i="20"/>
  <c r="O320" i="20" s="1"/>
  <c r="N319" i="20"/>
  <c r="O319" i="20" s="1"/>
  <c r="N318" i="20"/>
  <c r="O318" i="20" s="1"/>
  <c r="N317" i="20"/>
  <c r="O317" i="20" s="1"/>
  <c r="N316" i="20"/>
  <c r="O316" i="20" s="1"/>
  <c r="N303" i="20"/>
  <c r="O303" i="20" s="1"/>
  <c r="N302" i="20"/>
  <c r="O302" i="20" s="1"/>
  <c r="N301" i="20"/>
  <c r="O301" i="20" s="1"/>
  <c r="N300" i="20"/>
  <c r="O300" i="20" s="1"/>
  <c r="N299" i="20"/>
  <c r="O299" i="20" s="1"/>
  <c r="N298" i="20"/>
  <c r="O298" i="20" s="1"/>
  <c r="N297" i="20"/>
  <c r="O297" i="20" s="1"/>
  <c r="N296" i="20"/>
  <c r="O296" i="20" s="1"/>
  <c r="N295" i="20"/>
  <c r="O295" i="20" s="1"/>
  <c r="N294" i="20"/>
  <c r="O294" i="20" s="1"/>
  <c r="N293" i="20"/>
  <c r="O293" i="20" s="1"/>
  <c r="N292" i="20"/>
  <c r="O292" i="20" s="1"/>
  <c r="N291" i="20"/>
  <c r="O291" i="20" s="1"/>
  <c r="F114" i="25"/>
  <c r="G114" i="25"/>
  <c r="N126" i="20"/>
  <c r="O126" i="20" s="1"/>
  <c r="N128" i="20"/>
  <c r="O128" i="20" s="1"/>
  <c r="N130" i="20"/>
  <c r="O130" i="20" s="1"/>
  <c r="N132" i="20"/>
  <c r="O132" i="20" s="1"/>
  <c r="N134" i="20"/>
  <c r="O134" i="20" s="1"/>
  <c r="N136" i="20"/>
  <c r="O136" i="20" s="1"/>
  <c r="N138" i="20"/>
  <c r="O138" i="20" s="1"/>
  <c r="N140" i="20"/>
  <c r="O140" i="20" s="1"/>
  <c r="N142" i="20"/>
  <c r="O142" i="20" s="1"/>
  <c r="N144" i="20"/>
  <c r="O144" i="20" s="1"/>
  <c r="N146" i="20"/>
  <c r="O146" i="20" s="1"/>
  <c r="M16" i="5"/>
  <c r="L453" i="20" s="1"/>
  <c r="M453" i="20" s="1"/>
  <c r="N127" i="20"/>
  <c r="O127" i="20" s="1"/>
  <c r="N129" i="20"/>
  <c r="O129" i="20" s="1"/>
  <c r="N131" i="20"/>
  <c r="O131" i="20" s="1"/>
  <c r="N133" i="20"/>
  <c r="O133" i="20" s="1"/>
  <c r="N135" i="20"/>
  <c r="O135" i="20" s="1"/>
  <c r="N137" i="20"/>
  <c r="O137" i="20" s="1"/>
  <c r="N139" i="20"/>
  <c r="O139" i="20" s="1"/>
  <c r="N141" i="20"/>
  <c r="O141" i="20" s="1"/>
  <c r="N143" i="20"/>
  <c r="O143" i="20" s="1"/>
  <c r="N145" i="20"/>
  <c r="O145" i="20" s="1"/>
  <c r="N147" i="20"/>
  <c r="O147" i="20" s="1"/>
  <c r="N148" i="20"/>
  <c r="O148" i="20" s="1"/>
  <c r="N149" i="20"/>
  <c r="O149" i="20" s="1"/>
  <c r="N150" i="20"/>
  <c r="O150" i="20" s="1"/>
  <c r="N151" i="20"/>
  <c r="O151" i="20" s="1"/>
  <c r="N152" i="20"/>
  <c r="O152" i="20" s="1"/>
  <c r="N153" i="20"/>
  <c r="O153" i="20" s="1"/>
  <c r="N154" i="20"/>
  <c r="O154" i="20" s="1"/>
  <c r="N155" i="20"/>
  <c r="O155" i="20" s="1"/>
  <c r="N156" i="20"/>
  <c r="O156" i="20" s="1"/>
  <c r="N157" i="20"/>
  <c r="O157" i="20" s="1"/>
  <c r="N158" i="20"/>
  <c r="O158" i="20" s="1"/>
  <c r="N159" i="20"/>
  <c r="O159" i="20" s="1"/>
  <c r="N160" i="20"/>
  <c r="O160" i="20" s="1"/>
  <c r="N161" i="20"/>
  <c r="O161" i="20" s="1"/>
  <c r="N162" i="20"/>
  <c r="O162" i="20" s="1"/>
  <c r="N163" i="20"/>
  <c r="O163" i="20" s="1"/>
  <c r="N164" i="20"/>
  <c r="O164" i="20" s="1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197" i="20"/>
  <c r="N198" i="20"/>
  <c r="N199" i="20"/>
  <c r="N200" i="20"/>
  <c r="N201" i="20"/>
  <c r="N202" i="20"/>
  <c r="N203" i="20"/>
  <c r="N204" i="20"/>
  <c r="N205" i="20"/>
  <c r="N206" i="20"/>
  <c r="N207" i="20"/>
  <c r="N208" i="20"/>
  <c r="N209" i="20"/>
  <c r="N210" i="20"/>
  <c r="N211" i="20"/>
  <c r="N212" i="20"/>
  <c r="N213" i="20"/>
  <c r="N214" i="20"/>
  <c r="N215" i="20"/>
  <c r="N216" i="20"/>
  <c r="N217" i="20"/>
  <c r="N218" i="20"/>
  <c r="N219" i="20"/>
  <c r="N220" i="20"/>
  <c r="N221" i="20"/>
  <c r="O221" i="20" s="1"/>
  <c r="N222" i="20"/>
  <c r="O222" i="20" s="1"/>
  <c r="N223" i="20"/>
  <c r="O223" i="20" s="1"/>
  <c r="N224" i="20"/>
  <c r="O224" i="20" s="1"/>
  <c r="N225" i="20"/>
  <c r="O225" i="20" s="1"/>
  <c r="N226" i="20"/>
  <c r="O226" i="20" s="1"/>
  <c r="N227" i="20"/>
  <c r="O227" i="20" s="1"/>
  <c r="N228" i="20"/>
  <c r="O228" i="20" s="1"/>
  <c r="N229" i="20"/>
  <c r="O229" i="20" s="1"/>
  <c r="N230" i="20"/>
  <c r="O230" i="20" s="1"/>
  <c r="N231" i="20"/>
  <c r="O231" i="20" s="1"/>
  <c r="N232" i="20"/>
  <c r="O232" i="20" s="1"/>
  <c r="N233" i="20"/>
  <c r="O233" i="20" s="1"/>
  <c r="N234" i="20"/>
  <c r="O234" i="20" s="1"/>
  <c r="N235" i="20"/>
  <c r="O235" i="20" s="1"/>
  <c r="N236" i="20"/>
  <c r="O236" i="20" s="1"/>
  <c r="N237" i="20"/>
  <c r="O237" i="20" s="1"/>
  <c r="N238" i="20"/>
  <c r="O238" i="20" s="1"/>
  <c r="N239" i="20"/>
  <c r="O239" i="20" s="1"/>
  <c r="N240" i="20"/>
  <c r="O240" i="20" s="1"/>
  <c r="N241" i="20"/>
  <c r="O241" i="20" s="1"/>
  <c r="N242" i="20"/>
  <c r="O242" i="20" s="1"/>
  <c r="N243" i="20"/>
  <c r="O243" i="20" s="1"/>
  <c r="N244" i="20"/>
  <c r="O244" i="20" s="1"/>
  <c r="N245" i="20"/>
  <c r="O245" i="20" s="1"/>
  <c r="N246" i="20"/>
  <c r="O246" i="20" s="1"/>
  <c r="N247" i="20"/>
  <c r="O247" i="20" s="1"/>
  <c r="N248" i="20"/>
  <c r="O248" i="20" s="1"/>
  <c r="N249" i="20"/>
  <c r="O249" i="20" s="1"/>
  <c r="N250" i="20"/>
  <c r="O250" i="20" s="1"/>
  <c r="N251" i="20"/>
  <c r="O251" i="20" s="1"/>
  <c r="N252" i="20"/>
  <c r="O252" i="20" s="1"/>
  <c r="N253" i="20"/>
  <c r="O253" i="20" s="1"/>
  <c r="S122" i="25"/>
  <c r="S123" i="25" s="1"/>
  <c r="G114" i="24"/>
  <c r="F114" i="23"/>
  <c r="F114" i="24"/>
  <c r="G114" i="23"/>
  <c r="L469" i="20"/>
  <c r="M469" i="20" s="1"/>
  <c r="L473" i="20"/>
  <c r="M473" i="20" s="1"/>
  <c r="L417" i="20"/>
  <c r="M417" i="20" s="1"/>
  <c r="L384" i="20"/>
  <c r="M384" i="20" s="1"/>
  <c r="L352" i="20"/>
  <c r="M352" i="20" s="1"/>
  <c r="L470" i="20"/>
  <c r="M470" i="20" s="1"/>
  <c r="L474" i="20"/>
  <c r="M474" i="20" s="1"/>
  <c r="L418" i="20"/>
  <c r="M418" i="20" s="1"/>
  <c r="L387" i="20"/>
  <c r="M387" i="20" s="1"/>
  <c r="L355" i="20"/>
  <c r="M355" i="20" s="1"/>
  <c r="L322" i="20"/>
  <c r="M322" i="20" s="1"/>
  <c r="L297" i="20"/>
  <c r="M297" i="20" s="1"/>
  <c r="L282" i="20"/>
  <c r="M282" i="20" s="1"/>
  <c r="L266" i="20"/>
  <c r="M266" i="20" s="1"/>
  <c r="L254" i="20"/>
  <c r="M254" i="20" s="1"/>
  <c r="L246" i="20"/>
  <c r="M246" i="20" s="1"/>
  <c r="L238" i="20"/>
  <c r="M238" i="20" s="1"/>
  <c r="L230" i="20"/>
  <c r="M230" i="20" s="1"/>
  <c r="L222" i="20"/>
  <c r="M222" i="20" s="1"/>
  <c r="L214" i="20"/>
  <c r="L206" i="20"/>
  <c r="L202" i="20"/>
  <c r="L198" i="20"/>
  <c r="L194" i="20"/>
  <c r="L190" i="20"/>
  <c r="L186" i="20"/>
  <c r="L182" i="20"/>
  <c r="L178" i="20"/>
  <c r="L174" i="20"/>
  <c r="L170" i="20"/>
  <c r="L166" i="20"/>
  <c r="L162" i="20"/>
  <c r="L158" i="20"/>
  <c r="L154" i="20"/>
  <c r="L321" i="20"/>
  <c r="M321" i="20" s="1"/>
  <c r="L316" i="20"/>
  <c r="M316" i="20" s="1"/>
  <c r="L313" i="20"/>
  <c r="M313" i="20" s="1"/>
  <c r="L309" i="20"/>
  <c r="M309" i="20" s="1"/>
  <c r="L305" i="20"/>
  <c r="M305" i="20" s="1"/>
  <c r="L300" i="20"/>
  <c r="M300" i="20" s="1"/>
  <c r="L296" i="20"/>
  <c r="M296" i="20" s="1"/>
  <c r="L292" i="20"/>
  <c r="M292" i="20" s="1"/>
  <c r="L287" i="20"/>
  <c r="M287" i="20" s="1"/>
  <c r="L283" i="20"/>
  <c r="M283" i="20" s="1"/>
  <c r="L279" i="20"/>
  <c r="M279" i="20" s="1"/>
  <c r="L275" i="20"/>
  <c r="M275" i="20" s="1"/>
  <c r="L271" i="20"/>
  <c r="M271" i="20" s="1"/>
  <c r="L267" i="20"/>
  <c r="M267" i="20" s="1"/>
  <c r="L263" i="20"/>
  <c r="M263" i="20" s="1"/>
  <c r="L259" i="20"/>
  <c r="M259" i="20" s="1"/>
  <c r="L255" i="20"/>
  <c r="M255" i="20" s="1"/>
  <c r="L251" i="20"/>
  <c r="M251" i="20" s="1"/>
  <c r="L247" i="20"/>
  <c r="M247" i="20" s="1"/>
  <c r="L243" i="20"/>
  <c r="M243" i="20" s="1"/>
  <c r="L239" i="20"/>
  <c r="M239" i="20" s="1"/>
  <c r="L235" i="20"/>
  <c r="M235" i="20" s="1"/>
  <c r="L231" i="20"/>
  <c r="M231" i="20" s="1"/>
  <c r="L227" i="20"/>
  <c r="M227" i="20" s="1"/>
  <c r="L223" i="20"/>
  <c r="M223" i="20" s="1"/>
  <c r="L219" i="20"/>
  <c r="L215" i="20"/>
  <c r="L211" i="20"/>
  <c r="L207" i="20"/>
  <c r="L203" i="20"/>
  <c r="L199" i="20"/>
  <c r="L195" i="20"/>
  <c r="L191" i="20"/>
  <c r="L187" i="20"/>
  <c r="L183" i="20"/>
  <c r="L179" i="20"/>
  <c r="L175" i="20"/>
  <c r="L171" i="20"/>
  <c r="L167" i="20"/>
  <c r="L163" i="20"/>
  <c r="L159" i="20"/>
  <c r="L155" i="20"/>
  <c r="L151" i="20"/>
  <c r="M151" i="20" s="1"/>
  <c r="L150" i="20"/>
  <c r="M150" i="20" s="1"/>
  <c r="S122" i="24"/>
  <c r="S123" i="24" s="1"/>
  <c r="S122" i="23"/>
  <c r="S123" i="23" s="1"/>
  <c r="G114" i="21"/>
  <c r="F114" i="21"/>
  <c r="R122" i="21"/>
  <c r="R123" i="21" s="1"/>
  <c r="S28" i="21"/>
  <c r="A51" i="11"/>
  <c r="D51" i="11" s="1"/>
  <c r="D30" i="11" s="1"/>
  <c r="L49" i="11"/>
  <c r="D10" i="11"/>
  <c r="T49" i="11"/>
  <c r="U49" i="11"/>
  <c r="U53" i="11" s="1"/>
  <c r="Q49" i="11"/>
  <c r="E106" i="11"/>
  <c r="A45" i="11"/>
  <c r="H64" i="11" s="1"/>
  <c r="E49" i="11"/>
  <c r="K49" i="11"/>
  <c r="B98" i="11"/>
  <c r="B99" i="11" s="1"/>
  <c r="C28" i="11" s="1"/>
  <c r="G12" i="11"/>
  <c r="D49" i="11"/>
  <c r="E65" i="11"/>
  <c r="F49" i="11"/>
  <c r="F114" i="11"/>
  <c r="S481" i="20"/>
  <c r="T481" i="20" s="1"/>
  <c r="S477" i="20"/>
  <c r="T477" i="20" s="1"/>
  <c r="S474" i="20"/>
  <c r="T474" i="20" s="1"/>
  <c r="S471" i="20"/>
  <c r="T471" i="20" s="1"/>
  <c r="S475" i="20"/>
  <c r="T475" i="20" s="1"/>
  <c r="S480" i="20"/>
  <c r="T480" i="20" s="1"/>
  <c r="S445" i="20"/>
  <c r="T445" i="20" s="1"/>
  <c r="S441" i="20"/>
  <c r="T441" i="20" s="1"/>
  <c r="S438" i="20"/>
  <c r="T438" i="20" s="1"/>
  <c r="S435" i="20"/>
  <c r="T435" i="20" s="1"/>
  <c r="S439" i="20"/>
  <c r="T439" i="20" s="1"/>
  <c r="S444" i="20"/>
  <c r="T444" i="20" s="1"/>
  <c r="S433" i="20"/>
  <c r="T433" i="20" s="1"/>
  <c r="S429" i="20"/>
  <c r="T429" i="20" s="1"/>
  <c r="S426" i="20"/>
  <c r="T426" i="20" s="1"/>
  <c r="S423" i="20"/>
  <c r="T423" i="20" s="1"/>
  <c r="S427" i="20"/>
  <c r="T427" i="20" s="1"/>
  <c r="S432" i="20"/>
  <c r="T432" i="20" s="1"/>
  <c r="S421" i="20"/>
  <c r="T421" i="20" s="1"/>
  <c r="S417" i="20"/>
  <c r="T417" i="20" s="1"/>
  <c r="S414" i="20"/>
  <c r="T414" i="20" s="1"/>
  <c r="S411" i="20"/>
  <c r="T411" i="20" s="1"/>
  <c r="S415" i="20"/>
  <c r="T415" i="20" s="1"/>
  <c r="S420" i="20"/>
  <c r="T420" i="20" s="1"/>
  <c r="S409" i="20"/>
  <c r="T409" i="20" s="1"/>
  <c r="S405" i="20"/>
  <c r="T405" i="20" s="1"/>
  <c r="S402" i="20"/>
  <c r="T402" i="20" s="1"/>
  <c r="S399" i="20"/>
  <c r="T399" i="20" s="1"/>
  <c r="S403" i="20"/>
  <c r="T403" i="20" s="1"/>
  <c r="S408" i="20"/>
  <c r="T408" i="20" s="1"/>
  <c r="S397" i="20"/>
  <c r="T397" i="20" s="1"/>
  <c r="S393" i="20"/>
  <c r="T393" i="20" s="1"/>
  <c r="S390" i="20"/>
  <c r="T390" i="20" s="1"/>
  <c r="S387" i="20"/>
  <c r="T387" i="20" s="1"/>
  <c r="S391" i="20"/>
  <c r="T391" i="20" s="1"/>
  <c r="S396" i="20"/>
  <c r="T396" i="20" s="1"/>
  <c r="S385" i="20"/>
  <c r="T385" i="20" s="1"/>
  <c r="S381" i="20"/>
  <c r="T381" i="20" s="1"/>
  <c r="S378" i="20"/>
  <c r="T378" i="20" s="1"/>
  <c r="S375" i="20"/>
  <c r="T375" i="20" s="1"/>
  <c r="S379" i="20"/>
  <c r="T379" i="20" s="1"/>
  <c r="S384" i="20"/>
  <c r="T384" i="20" s="1"/>
  <c r="S373" i="20"/>
  <c r="T373" i="20" s="1"/>
  <c r="S369" i="20"/>
  <c r="T369" i="20" s="1"/>
  <c r="S366" i="20"/>
  <c r="T366" i="20" s="1"/>
  <c r="S363" i="20"/>
  <c r="T363" i="20" s="1"/>
  <c r="S367" i="20"/>
  <c r="T367" i="20" s="1"/>
  <c r="S372" i="20"/>
  <c r="T372" i="20" s="1"/>
  <c r="S361" i="20"/>
  <c r="T361" i="20" s="1"/>
  <c r="S357" i="20"/>
  <c r="T357" i="20" s="1"/>
  <c r="S354" i="20"/>
  <c r="T354" i="20" s="1"/>
  <c r="S351" i="20"/>
  <c r="T351" i="20" s="1"/>
  <c r="S355" i="20"/>
  <c r="T355" i="20" s="1"/>
  <c r="S360" i="20"/>
  <c r="T360" i="20" s="1"/>
  <c r="S349" i="20"/>
  <c r="T349" i="20" s="1"/>
  <c r="S345" i="20"/>
  <c r="T345" i="20" s="1"/>
  <c r="S342" i="20"/>
  <c r="T342" i="20" s="1"/>
  <c r="S339" i="20"/>
  <c r="T339" i="20" s="1"/>
  <c r="S343" i="20"/>
  <c r="T343" i="20" s="1"/>
  <c r="S348" i="20"/>
  <c r="T348" i="20" s="1"/>
  <c r="S337" i="20"/>
  <c r="T337" i="20" s="1"/>
  <c r="S333" i="20"/>
  <c r="T333" i="20" s="1"/>
  <c r="S330" i="20"/>
  <c r="T330" i="20" s="1"/>
  <c r="S327" i="20"/>
  <c r="T327" i="20" s="1"/>
  <c r="S331" i="20"/>
  <c r="T331" i="20" s="1"/>
  <c r="S336" i="20"/>
  <c r="T336" i="20" s="1"/>
  <c r="S325" i="20"/>
  <c r="T325" i="20" s="1"/>
  <c r="S321" i="20"/>
  <c r="T321" i="20" s="1"/>
  <c r="S318" i="20"/>
  <c r="T318" i="20" s="1"/>
  <c r="S315" i="20"/>
  <c r="T315" i="20" s="1"/>
  <c r="S319" i="20"/>
  <c r="T319" i="20" s="1"/>
  <c r="S324" i="20"/>
  <c r="T324" i="20" s="1"/>
  <c r="S313" i="20"/>
  <c r="T313" i="20" s="1"/>
  <c r="S309" i="20"/>
  <c r="T309" i="20" s="1"/>
  <c r="S306" i="20"/>
  <c r="T306" i="20" s="1"/>
  <c r="S303" i="20"/>
  <c r="T303" i="20" s="1"/>
  <c r="S307" i="20"/>
  <c r="T307" i="20" s="1"/>
  <c r="S312" i="20"/>
  <c r="T312" i="20" s="1"/>
  <c r="S301" i="20"/>
  <c r="T301" i="20" s="1"/>
  <c r="S297" i="20"/>
  <c r="T297" i="20" s="1"/>
  <c r="S294" i="20"/>
  <c r="T294" i="20" s="1"/>
  <c r="S291" i="20"/>
  <c r="T291" i="20" s="1"/>
  <c r="S295" i="20"/>
  <c r="T295" i="20" s="1"/>
  <c r="S479" i="20"/>
  <c r="T479" i="20" s="1"/>
  <c r="S472" i="20"/>
  <c r="T472" i="20" s="1"/>
  <c r="S478" i="20"/>
  <c r="T478" i="20" s="1"/>
  <c r="S443" i="20"/>
  <c r="T443" i="20" s="1"/>
  <c r="S436" i="20"/>
  <c r="T436" i="20" s="1"/>
  <c r="S442" i="20"/>
  <c r="T442" i="20" s="1"/>
  <c r="S431" i="20"/>
  <c r="T431" i="20" s="1"/>
  <c r="S424" i="20"/>
  <c r="T424" i="20" s="1"/>
  <c r="S430" i="20"/>
  <c r="T430" i="20" s="1"/>
  <c r="S419" i="20"/>
  <c r="T419" i="20" s="1"/>
  <c r="S412" i="20"/>
  <c r="T412" i="20" s="1"/>
  <c r="S418" i="20"/>
  <c r="T418" i="20" s="1"/>
  <c r="S407" i="20"/>
  <c r="T407" i="20" s="1"/>
  <c r="S400" i="20"/>
  <c r="T400" i="20" s="1"/>
  <c r="S406" i="20"/>
  <c r="T406" i="20" s="1"/>
  <c r="S395" i="20"/>
  <c r="T395" i="20" s="1"/>
  <c r="S388" i="20"/>
  <c r="T388" i="20" s="1"/>
  <c r="S394" i="20"/>
  <c r="T394" i="20" s="1"/>
  <c r="S383" i="20"/>
  <c r="T383" i="20" s="1"/>
  <c r="S376" i="20"/>
  <c r="T376" i="20" s="1"/>
  <c r="S382" i="20"/>
  <c r="T382" i="20" s="1"/>
  <c r="S371" i="20"/>
  <c r="T371" i="20" s="1"/>
  <c r="S364" i="20"/>
  <c r="T364" i="20" s="1"/>
  <c r="S370" i="20"/>
  <c r="T370" i="20" s="1"/>
  <c r="S359" i="20"/>
  <c r="T359" i="20" s="1"/>
  <c r="S352" i="20"/>
  <c r="T352" i="20" s="1"/>
  <c r="S358" i="20"/>
  <c r="T358" i="20" s="1"/>
  <c r="S347" i="20"/>
  <c r="T347" i="20" s="1"/>
  <c r="S340" i="20"/>
  <c r="T340" i="20" s="1"/>
  <c r="S346" i="20"/>
  <c r="T346" i="20" s="1"/>
  <c r="S335" i="20"/>
  <c r="T335" i="20" s="1"/>
  <c r="S328" i="20"/>
  <c r="T328" i="20" s="1"/>
  <c r="S334" i="20"/>
  <c r="T334" i="20" s="1"/>
  <c r="S323" i="20"/>
  <c r="T323" i="20" s="1"/>
  <c r="S316" i="20"/>
  <c r="T316" i="20" s="1"/>
  <c r="S322" i="20"/>
  <c r="T322" i="20" s="1"/>
  <c r="S311" i="20"/>
  <c r="T311" i="20" s="1"/>
  <c r="S304" i="20"/>
  <c r="T304" i="20" s="1"/>
  <c r="S310" i="20"/>
  <c r="T310" i="20" s="1"/>
  <c r="S299" i="20"/>
  <c r="T299" i="20" s="1"/>
  <c r="S292" i="20"/>
  <c r="T292" i="20" s="1"/>
  <c r="S298" i="20"/>
  <c r="T298" i="20" s="1"/>
  <c r="S302" i="20"/>
  <c r="T302" i="20" s="1"/>
  <c r="S287" i="20"/>
  <c r="T287" i="20" s="1"/>
  <c r="S284" i="20"/>
  <c r="T284" i="20" s="1"/>
  <c r="S280" i="20"/>
  <c r="T280" i="20" s="1"/>
  <c r="S281" i="20"/>
  <c r="T281" i="20" s="1"/>
  <c r="S286" i="20"/>
  <c r="T286" i="20" s="1"/>
  <c r="S290" i="20"/>
  <c r="T290" i="20" s="1"/>
  <c r="S275" i="20"/>
  <c r="T275" i="20" s="1"/>
  <c r="S272" i="20"/>
  <c r="T272" i="20" s="1"/>
  <c r="S268" i="20"/>
  <c r="T268" i="20" s="1"/>
  <c r="S267" i="20"/>
  <c r="T267" i="20" s="1"/>
  <c r="S271" i="20"/>
  <c r="T271" i="20" s="1"/>
  <c r="S276" i="20"/>
  <c r="T276" i="20" s="1"/>
  <c r="S242" i="20"/>
  <c r="T242" i="20" s="1"/>
  <c r="S265" i="20"/>
  <c r="T265" i="20" s="1"/>
  <c r="S261" i="20"/>
  <c r="T261" i="20" s="1"/>
  <c r="S258" i="20"/>
  <c r="T258" i="20" s="1"/>
  <c r="S255" i="20"/>
  <c r="T255" i="20" s="1"/>
  <c r="S259" i="20"/>
  <c r="T259" i="20" s="1"/>
  <c r="S264" i="20"/>
  <c r="T264" i="20" s="1"/>
  <c r="S250" i="20"/>
  <c r="T250" i="20" s="1"/>
  <c r="S240" i="20"/>
  <c r="T240" i="20" s="1"/>
  <c r="S248" i="20"/>
  <c r="T248" i="20" s="1"/>
  <c r="S241" i="20"/>
  <c r="T241" i="20" s="1"/>
  <c r="S245" i="20"/>
  <c r="T245" i="20" s="1"/>
  <c r="S249" i="20"/>
  <c r="T249" i="20" s="1"/>
  <c r="S253" i="20"/>
  <c r="T253" i="20" s="1"/>
  <c r="S3" i="20"/>
  <c r="T3" i="20" s="1"/>
  <c r="S7" i="20"/>
  <c r="T7" i="20" s="1"/>
  <c r="S11" i="20"/>
  <c r="T11" i="20" s="1"/>
  <c r="S15" i="20"/>
  <c r="T15" i="20" s="1"/>
  <c r="S19" i="20"/>
  <c r="T19" i="20" s="1"/>
  <c r="S23" i="20"/>
  <c r="T23" i="20" s="1"/>
  <c r="S27" i="20"/>
  <c r="T27" i="20" s="1"/>
  <c r="S31" i="20"/>
  <c r="T31" i="20" s="1"/>
  <c r="S35" i="20"/>
  <c r="T35" i="20" s="1"/>
  <c r="S39" i="20"/>
  <c r="T39" i="20" s="1"/>
  <c r="S43" i="20"/>
  <c r="T43" i="20" s="1"/>
  <c r="S47" i="20"/>
  <c r="T47" i="20" s="1"/>
  <c r="S51" i="20"/>
  <c r="T51" i="20" s="1"/>
  <c r="S55" i="20"/>
  <c r="T55" i="20" s="1"/>
  <c r="S59" i="20"/>
  <c r="T59" i="20" s="1"/>
  <c r="S63" i="20"/>
  <c r="T63" i="20" s="1"/>
  <c r="S67" i="20"/>
  <c r="T67" i="20" s="1"/>
  <c r="S71" i="20"/>
  <c r="T71" i="20" s="1"/>
  <c r="S75" i="20"/>
  <c r="T75" i="20" s="1"/>
  <c r="S79" i="20"/>
  <c r="T79" i="20" s="1"/>
  <c r="S83" i="20"/>
  <c r="T83" i="20" s="1"/>
  <c r="S236" i="20"/>
  <c r="T236" i="20" s="1"/>
  <c r="S232" i="20"/>
  <c r="T232" i="20" s="1"/>
  <c r="S228" i="20"/>
  <c r="T228" i="20" s="1"/>
  <c r="S224" i="20"/>
  <c r="T224" i="20" s="1"/>
  <c r="S220" i="20"/>
  <c r="T220" i="20" s="1"/>
  <c r="S216" i="20"/>
  <c r="T216" i="20" s="1"/>
  <c r="S212" i="20"/>
  <c r="T212" i="20" s="1"/>
  <c r="S208" i="20"/>
  <c r="T208" i="20" s="1"/>
  <c r="S204" i="20"/>
  <c r="T204" i="20" s="1"/>
  <c r="S200" i="20"/>
  <c r="T200" i="20" s="1"/>
  <c r="S196" i="20"/>
  <c r="T196" i="20" s="1"/>
  <c r="S192" i="20"/>
  <c r="T192" i="20" s="1"/>
  <c r="S188" i="20"/>
  <c r="T188" i="20" s="1"/>
  <c r="S184" i="20"/>
  <c r="T184" i="20" s="1"/>
  <c r="S180" i="20"/>
  <c r="T180" i="20" s="1"/>
  <c r="S176" i="20"/>
  <c r="T176" i="20" s="1"/>
  <c r="S172" i="20"/>
  <c r="T172" i="20" s="1"/>
  <c r="S168" i="20"/>
  <c r="T168" i="20" s="1"/>
  <c r="S164" i="20"/>
  <c r="T164" i="20" s="1"/>
  <c r="S160" i="20"/>
  <c r="T160" i="20" s="1"/>
  <c r="S156" i="20"/>
  <c r="T156" i="20" s="1"/>
  <c r="S152" i="20"/>
  <c r="T152" i="20" s="1"/>
  <c r="S148" i="20"/>
  <c r="T148" i="20" s="1"/>
  <c r="S144" i="20"/>
  <c r="T144" i="20" s="1"/>
  <c r="S140" i="20"/>
  <c r="T140" i="20" s="1"/>
  <c r="S136" i="20"/>
  <c r="T136" i="20" s="1"/>
  <c r="S132" i="20"/>
  <c r="T132" i="20" s="1"/>
  <c r="S128" i="20"/>
  <c r="T128" i="20" s="1"/>
  <c r="S124" i="20"/>
  <c r="T124" i="20" s="1"/>
  <c r="S120" i="20"/>
  <c r="T120" i="20" s="1"/>
  <c r="S116" i="20"/>
  <c r="T116" i="20" s="1"/>
  <c r="S112" i="20"/>
  <c r="T112" i="20" s="1"/>
  <c r="S108" i="20"/>
  <c r="T108" i="20" s="1"/>
  <c r="S104" i="20"/>
  <c r="T104" i="20" s="1"/>
  <c r="S100" i="20"/>
  <c r="T100" i="20" s="1"/>
  <c r="S96" i="20"/>
  <c r="T96" i="20" s="1"/>
  <c r="S92" i="20"/>
  <c r="T92" i="20" s="1"/>
  <c r="S239" i="20"/>
  <c r="T239" i="20" s="1"/>
  <c r="S235" i="20"/>
  <c r="T235" i="20" s="1"/>
  <c r="S231" i="20"/>
  <c r="T231" i="20" s="1"/>
  <c r="S227" i="20"/>
  <c r="T227" i="20" s="1"/>
  <c r="S223" i="20"/>
  <c r="T223" i="20" s="1"/>
  <c r="S219" i="20"/>
  <c r="T219" i="20" s="1"/>
  <c r="S215" i="20"/>
  <c r="T215" i="20" s="1"/>
  <c r="S211" i="20"/>
  <c r="T211" i="20" s="1"/>
  <c r="S207" i="20"/>
  <c r="T207" i="20" s="1"/>
  <c r="S203" i="20"/>
  <c r="T203" i="20" s="1"/>
  <c r="S199" i="20"/>
  <c r="T199" i="20" s="1"/>
  <c r="S195" i="20"/>
  <c r="T195" i="20" s="1"/>
  <c r="S191" i="20"/>
  <c r="T191" i="20" s="1"/>
  <c r="S187" i="20"/>
  <c r="T187" i="20" s="1"/>
  <c r="S183" i="20"/>
  <c r="T183" i="20" s="1"/>
  <c r="S179" i="20"/>
  <c r="T179" i="20" s="1"/>
  <c r="S175" i="20"/>
  <c r="T175" i="20" s="1"/>
  <c r="S171" i="20"/>
  <c r="T171" i="20" s="1"/>
  <c r="S167" i="20"/>
  <c r="T167" i="20" s="1"/>
  <c r="S163" i="20"/>
  <c r="T163" i="20" s="1"/>
  <c r="S159" i="20"/>
  <c r="T159" i="20" s="1"/>
  <c r="S155" i="20"/>
  <c r="T155" i="20" s="1"/>
  <c r="S151" i="20"/>
  <c r="T151" i="20" s="1"/>
  <c r="S147" i="20"/>
  <c r="T147" i="20" s="1"/>
  <c r="S143" i="20"/>
  <c r="T143" i="20" s="1"/>
  <c r="S139" i="20"/>
  <c r="T139" i="20" s="1"/>
  <c r="S135" i="20"/>
  <c r="T135" i="20" s="1"/>
  <c r="S131" i="20"/>
  <c r="T131" i="20" s="1"/>
  <c r="S127" i="20"/>
  <c r="T127" i="20" s="1"/>
  <c r="S123" i="20"/>
  <c r="T123" i="20" s="1"/>
  <c r="S119" i="20"/>
  <c r="T119" i="20" s="1"/>
  <c r="S115" i="20"/>
  <c r="T115" i="20" s="1"/>
  <c r="S111" i="20"/>
  <c r="T111" i="20" s="1"/>
  <c r="S107" i="20"/>
  <c r="T107" i="20" s="1"/>
  <c r="S103" i="20"/>
  <c r="T103" i="20" s="1"/>
  <c r="S99" i="20"/>
  <c r="T99" i="20" s="1"/>
  <c r="S95" i="20"/>
  <c r="T95" i="20" s="1"/>
  <c r="S91" i="20"/>
  <c r="T91" i="20" s="1"/>
  <c r="S87" i="20"/>
  <c r="T87" i="20" s="1"/>
  <c r="S4" i="20"/>
  <c r="T4" i="20" s="1"/>
  <c r="S8" i="20"/>
  <c r="T8" i="20" s="1"/>
  <c r="S14" i="20"/>
  <c r="T14" i="20" s="1"/>
  <c r="S16" i="20"/>
  <c r="T16" i="20" s="1"/>
  <c r="S448" i="20"/>
  <c r="T448" i="20" s="1"/>
  <c r="S456" i="20"/>
  <c r="T456" i="20" s="1"/>
  <c r="S451" i="20"/>
  <c r="T451" i="20" s="1"/>
  <c r="S458" i="20"/>
  <c r="T458" i="20" s="1"/>
  <c r="S452" i="20"/>
  <c r="T452" i="20" s="1"/>
  <c r="S455" i="20"/>
  <c r="T455" i="20" s="1"/>
  <c r="S459" i="20"/>
  <c r="T459" i="20" s="1"/>
  <c r="S463" i="20"/>
  <c r="T463" i="20" s="1"/>
  <c r="S468" i="20"/>
  <c r="T468" i="20" s="1"/>
  <c r="S462" i="20"/>
  <c r="T462" i="20" s="1"/>
  <c r="S465" i="20"/>
  <c r="T465" i="20" s="1"/>
  <c r="S469" i="20"/>
  <c r="T469" i="20" s="1"/>
  <c r="K16" i="5"/>
  <c r="S84" i="20"/>
  <c r="T84" i="20" s="1"/>
  <c r="S80" i="20"/>
  <c r="T80" i="20" s="1"/>
  <c r="S76" i="20"/>
  <c r="T76" i="20" s="1"/>
  <c r="S72" i="20"/>
  <c r="T72" i="20" s="1"/>
  <c r="S68" i="20"/>
  <c r="T68" i="20" s="1"/>
  <c r="S64" i="20"/>
  <c r="T64" i="20" s="1"/>
  <c r="S60" i="20"/>
  <c r="T60" i="20" s="1"/>
  <c r="S56" i="20"/>
  <c r="T56" i="20" s="1"/>
  <c r="S52" i="20"/>
  <c r="T52" i="20" s="1"/>
  <c r="S48" i="20"/>
  <c r="T48" i="20" s="1"/>
  <c r="S44" i="20"/>
  <c r="T44" i="20" s="1"/>
  <c r="S40" i="20"/>
  <c r="T40" i="20" s="1"/>
  <c r="S36" i="20"/>
  <c r="T36" i="20" s="1"/>
  <c r="S32" i="20"/>
  <c r="T32" i="20" s="1"/>
  <c r="S28" i="20"/>
  <c r="T28" i="20" s="1"/>
  <c r="S24" i="20"/>
  <c r="T24" i="20" s="1"/>
  <c r="S20" i="20"/>
  <c r="T20" i="20" s="1"/>
  <c r="S12" i="20"/>
  <c r="T12" i="20" s="1"/>
  <c r="S6" i="20"/>
  <c r="T6" i="20" s="1"/>
  <c r="S89" i="20"/>
  <c r="T89" i="20" s="1"/>
  <c r="S97" i="20"/>
  <c r="T97" i="20" s="1"/>
  <c r="S105" i="20"/>
  <c r="T105" i="20" s="1"/>
  <c r="S113" i="20"/>
  <c r="T113" i="20" s="1"/>
  <c r="S121" i="20"/>
  <c r="T121" i="20" s="1"/>
  <c r="S129" i="20"/>
  <c r="T129" i="20" s="1"/>
  <c r="S137" i="20"/>
  <c r="T137" i="20" s="1"/>
  <c r="S145" i="20"/>
  <c r="T145" i="20" s="1"/>
  <c r="S153" i="20"/>
  <c r="T153" i="20" s="1"/>
  <c r="S161" i="20"/>
  <c r="T161" i="20" s="1"/>
  <c r="S169" i="20"/>
  <c r="T169" i="20" s="1"/>
  <c r="S177" i="20"/>
  <c r="T177" i="20" s="1"/>
  <c r="S185" i="20"/>
  <c r="T185" i="20" s="1"/>
  <c r="S193" i="20"/>
  <c r="T193" i="20" s="1"/>
  <c r="S201" i="20"/>
  <c r="T201" i="20" s="1"/>
  <c r="S209" i="20"/>
  <c r="T209" i="20" s="1"/>
  <c r="S217" i="20"/>
  <c r="T217" i="20" s="1"/>
  <c r="S225" i="20"/>
  <c r="T225" i="20" s="1"/>
  <c r="S233" i="20"/>
  <c r="T233" i="20" s="1"/>
  <c r="S90" i="20"/>
  <c r="T90" i="20" s="1"/>
  <c r="S98" i="20"/>
  <c r="T98" i="20" s="1"/>
  <c r="S106" i="20"/>
  <c r="T106" i="20" s="1"/>
  <c r="S114" i="20"/>
  <c r="T114" i="20" s="1"/>
  <c r="S122" i="20"/>
  <c r="T122" i="20" s="1"/>
  <c r="S130" i="20"/>
  <c r="T130" i="20" s="1"/>
  <c r="S138" i="20"/>
  <c r="T138" i="20" s="1"/>
  <c r="S146" i="20"/>
  <c r="T146" i="20" s="1"/>
  <c r="S154" i="20"/>
  <c r="T154" i="20" s="1"/>
  <c r="S162" i="20"/>
  <c r="T162" i="20" s="1"/>
  <c r="S170" i="20"/>
  <c r="T170" i="20" s="1"/>
  <c r="S178" i="20"/>
  <c r="T178" i="20" s="1"/>
  <c r="S186" i="20"/>
  <c r="T186" i="20" s="1"/>
  <c r="S194" i="20"/>
  <c r="T194" i="20" s="1"/>
  <c r="S202" i="20"/>
  <c r="T202" i="20" s="1"/>
  <c r="S210" i="20"/>
  <c r="T210" i="20" s="1"/>
  <c r="S218" i="20"/>
  <c r="T218" i="20" s="1"/>
  <c r="S226" i="20"/>
  <c r="T226" i="20" s="1"/>
  <c r="S234" i="20"/>
  <c r="T234" i="20" s="1"/>
  <c r="S81" i="20"/>
  <c r="T81" i="20" s="1"/>
  <c r="S73" i="20"/>
  <c r="T73" i="20" s="1"/>
  <c r="S65" i="20"/>
  <c r="T65" i="20" s="1"/>
  <c r="S57" i="20"/>
  <c r="T57" i="20" s="1"/>
  <c r="S49" i="20"/>
  <c r="T49" i="20" s="1"/>
  <c r="S41" i="20"/>
  <c r="T41" i="20" s="1"/>
  <c r="S33" i="20"/>
  <c r="T33" i="20" s="1"/>
  <c r="S25" i="20"/>
  <c r="T25" i="20" s="1"/>
  <c r="S17" i="20"/>
  <c r="T17" i="20" s="1"/>
  <c r="S9" i="20"/>
  <c r="T9" i="20" s="1"/>
  <c r="S247" i="20"/>
  <c r="T247" i="20" s="1"/>
  <c r="S86" i="20"/>
  <c r="T86" i="20" s="1"/>
  <c r="S246" i="20"/>
  <c r="T246" i="20" s="1"/>
  <c r="S262" i="20"/>
  <c r="T262" i="20" s="1"/>
  <c r="S256" i="20"/>
  <c r="T256" i="20" s="1"/>
  <c r="S263" i="20"/>
  <c r="T263" i="20" s="1"/>
  <c r="S278" i="20"/>
  <c r="T278" i="20" s="1"/>
  <c r="S269" i="20"/>
  <c r="T269" i="20" s="1"/>
  <c r="S270" i="20"/>
  <c r="T270" i="20" s="1"/>
  <c r="S277" i="20"/>
  <c r="T277" i="20" s="1"/>
  <c r="S283" i="20"/>
  <c r="T283" i="20" s="1"/>
  <c r="S282" i="20"/>
  <c r="T282" i="20" s="1"/>
  <c r="S289" i="20"/>
  <c r="T289" i="20" s="1"/>
  <c r="S293" i="20"/>
  <c r="T293" i="20" s="1"/>
  <c r="S314" i="20"/>
  <c r="T314" i="20" s="1"/>
  <c r="S308" i="20"/>
  <c r="T308" i="20" s="1"/>
  <c r="S317" i="20"/>
  <c r="T317" i="20" s="1"/>
  <c r="S338" i="20"/>
  <c r="T338" i="20" s="1"/>
  <c r="S332" i="20"/>
  <c r="T332" i="20" s="1"/>
  <c r="S341" i="20"/>
  <c r="T341" i="20" s="1"/>
  <c r="S362" i="20"/>
  <c r="T362" i="20" s="1"/>
  <c r="S356" i="20"/>
  <c r="T356" i="20" s="1"/>
  <c r="S365" i="20"/>
  <c r="T365" i="20" s="1"/>
  <c r="S386" i="20"/>
  <c r="T386" i="20" s="1"/>
  <c r="S380" i="20"/>
  <c r="T380" i="20" s="1"/>
  <c r="S389" i="20"/>
  <c r="T389" i="20" s="1"/>
  <c r="S410" i="20"/>
  <c r="T410" i="20" s="1"/>
  <c r="S404" i="20"/>
  <c r="T404" i="20" s="1"/>
  <c r="S413" i="20"/>
  <c r="T413" i="20" s="1"/>
  <c r="S434" i="20"/>
  <c r="T434" i="20" s="1"/>
  <c r="S428" i="20"/>
  <c r="T428" i="20" s="1"/>
  <c r="S437" i="20"/>
  <c r="T437" i="20" s="1"/>
  <c r="S482" i="20"/>
  <c r="T482" i="20" s="1"/>
  <c r="S476" i="20"/>
  <c r="T476" i="20" s="1"/>
  <c r="J49" i="11"/>
  <c r="S49" i="11"/>
  <c r="O49" i="11"/>
  <c r="C49" i="11"/>
  <c r="I49" i="11"/>
  <c r="M49" i="11"/>
  <c r="G49" i="11"/>
  <c r="E98" i="11"/>
  <c r="R26" i="11" s="1"/>
  <c r="N49" i="11"/>
  <c r="J340" i="20"/>
  <c r="K340" i="20" s="1"/>
  <c r="H65" i="11"/>
  <c r="J373" i="20"/>
  <c r="K373" i="20" s="1"/>
  <c r="J395" i="20"/>
  <c r="K395" i="20" s="1"/>
  <c r="J411" i="20"/>
  <c r="K411" i="20" s="1"/>
  <c r="J427" i="20"/>
  <c r="K427" i="20" s="1"/>
  <c r="J443" i="20"/>
  <c r="K443" i="20" s="1"/>
  <c r="J354" i="20"/>
  <c r="K354" i="20" s="1"/>
  <c r="J452" i="20"/>
  <c r="K452" i="20" s="1"/>
  <c r="J468" i="20"/>
  <c r="K468" i="20" s="1"/>
  <c r="J270" i="20"/>
  <c r="K270" i="20" s="1"/>
  <c r="J286" i="20"/>
  <c r="K286" i="20" s="1"/>
  <c r="J315" i="20"/>
  <c r="K315" i="20" s="1"/>
  <c r="J337" i="20"/>
  <c r="K337" i="20" s="1"/>
  <c r="J296" i="20"/>
  <c r="K296" i="20" s="1"/>
  <c r="E16" i="5"/>
  <c r="J253" i="20"/>
  <c r="K253" i="20" s="1"/>
  <c r="J249" i="20"/>
  <c r="K249" i="20" s="1"/>
  <c r="J245" i="20"/>
  <c r="K245" i="20" s="1"/>
  <c r="J241" i="20"/>
  <c r="K241" i="20" s="1"/>
  <c r="J237" i="20"/>
  <c r="J233" i="20"/>
  <c r="J229" i="20"/>
  <c r="J225" i="20"/>
  <c r="J221" i="20"/>
  <c r="J217" i="20"/>
  <c r="J213" i="20"/>
  <c r="J209" i="20"/>
  <c r="J205" i="20"/>
  <c r="J201" i="20"/>
  <c r="J197" i="20"/>
  <c r="J193" i="20"/>
  <c r="J189" i="20"/>
  <c r="J185" i="20"/>
  <c r="J181" i="20"/>
  <c r="J177" i="20"/>
  <c r="J173" i="20"/>
  <c r="J169" i="20"/>
  <c r="J165" i="20"/>
  <c r="J161" i="20"/>
  <c r="J157" i="20"/>
  <c r="J153" i="20"/>
  <c r="J149" i="20"/>
  <c r="J145" i="20"/>
  <c r="K145" i="20" s="1"/>
  <c r="J142" i="20"/>
  <c r="K142" i="20" s="1"/>
  <c r="J141" i="20"/>
  <c r="K141" i="20" s="1"/>
  <c r="J140" i="20"/>
  <c r="K140" i="20" s="1"/>
  <c r="J139" i="20"/>
  <c r="K139" i="20" s="1"/>
  <c r="J138" i="20"/>
  <c r="K138" i="20" s="1"/>
  <c r="J137" i="20"/>
  <c r="K137" i="20" s="1"/>
  <c r="J136" i="20"/>
  <c r="K136" i="20" s="1"/>
  <c r="J135" i="20"/>
  <c r="K135" i="20" s="1"/>
  <c r="J134" i="20"/>
  <c r="K134" i="20" s="1"/>
  <c r="J133" i="20"/>
  <c r="K133" i="20" s="1"/>
  <c r="J132" i="20"/>
  <c r="K132" i="20" s="1"/>
  <c r="J131" i="20"/>
  <c r="K131" i="20" s="1"/>
  <c r="J130" i="20"/>
  <c r="K130" i="20" s="1"/>
  <c r="J129" i="20"/>
  <c r="K129" i="20" s="1"/>
  <c r="J128" i="20"/>
  <c r="K128" i="20" s="1"/>
  <c r="J127" i="20"/>
  <c r="K127" i="20" s="1"/>
  <c r="J126" i="20"/>
  <c r="K126" i="20" s="1"/>
  <c r="J125" i="20"/>
  <c r="K125" i="20" s="1"/>
  <c r="J124" i="20"/>
  <c r="K124" i="20" s="1"/>
  <c r="J123" i="20"/>
  <c r="K123" i="20" s="1"/>
  <c r="J122" i="20"/>
  <c r="K122" i="20" s="1"/>
  <c r="J121" i="20"/>
  <c r="K121" i="20" s="1"/>
  <c r="J120" i="20"/>
  <c r="K120" i="20" s="1"/>
  <c r="J119" i="20"/>
  <c r="K119" i="20" s="1"/>
  <c r="J118" i="20"/>
  <c r="K118" i="20" s="1"/>
  <c r="J117" i="20"/>
  <c r="K117" i="20" s="1"/>
  <c r="J116" i="20"/>
  <c r="K116" i="20" s="1"/>
  <c r="J115" i="20"/>
  <c r="K115" i="20" s="1"/>
  <c r="J114" i="20"/>
  <c r="K114" i="20" s="1"/>
  <c r="J113" i="20"/>
  <c r="K113" i="20" s="1"/>
  <c r="J112" i="20"/>
  <c r="K112" i="20" s="1"/>
  <c r="J111" i="20"/>
  <c r="K111" i="20" s="1"/>
  <c r="J110" i="20"/>
  <c r="K110" i="20" s="1"/>
  <c r="J109" i="20"/>
  <c r="K109" i="20" s="1"/>
  <c r="J108" i="20"/>
  <c r="K108" i="20" s="1"/>
  <c r="J107" i="20"/>
  <c r="K107" i="20" s="1"/>
  <c r="J106" i="20"/>
  <c r="K106" i="20" s="1"/>
  <c r="J105" i="20"/>
  <c r="K105" i="20" s="1"/>
  <c r="J104" i="20"/>
  <c r="K104" i="20" s="1"/>
  <c r="J103" i="20"/>
  <c r="K103" i="20" s="1"/>
  <c r="J102" i="20"/>
  <c r="K102" i="20" s="1"/>
  <c r="J101" i="20"/>
  <c r="K101" i="20" s="1"/>
  <c r="J100" i="20"/>
  <c r="K100" i="20" s="1"/>
  <c r="J99" i="20"/>
  <c r="K99" i="20" s="1"/>
  <c r="J98" i="20"/>
  <c r="K98" i="20" s="1"/>
  <c r="J97" i="20"/>
  <c r="K97" i="20" s="1"/>
  <c r="J96" i="20"/>
  <c r="K96" i="20" s="1"/>
  <c r="J95" i="20"/>
  <c r="K95" i="20" s="1"/>
  <c r="J94" i="20"/>
  <c r="K94" i="20" s="1"/>
  <c r="J93" i="20"/>
  <c r="K93" i="20" s="1"/>
  <c r="J92" i="20"/>
  <c r="K92" i="20" s="1"/>
  <c r="J91" i="20"/>
  <c r="K91" i="20" s="1"/>
  <c r="J90" i="20"/>
  <c r="K90" i="20" s="1"/>
  <c r="J89" i="20"/>
  <c r="K89" i="20" s="1"/>
  <c r="J88" i="20"/>
  <c r="K88" i="20" s="1"/>
  <c r="J87" i="20"/>
  <c r="K87" i="20" s="1"/>
  <c r="J86" i="20"/>
  <c r="K86" i="20" s="1"/>
  <c r="J85" i="20"/>
  <c r="K85" i="20" s="1"/>
  <c r="J84" i="20"/>
  <c r="K84" i="20" s="1"/>
  <c r="J83" i="20"/>
  <c r="K83" i="20" s="1"/>
  <c r="J82" i="20"/>
  <c r="K82" i="20" s="1"/>
  <c r="J81" i="20"/>
  <c r="K81" i="20" s="1"/>
  <c r="J80" i="20"/>
  <c r="K80" i="20" s="1"/>
  <c r="J79" i="20"/>
  <c r="K79" i="20" s="1"/>
  <c r="J78" i="20"/>
  <c r="K78" i="20" s="1"/>
  <c r="J77" i="20"/>
  <c r="K77" i="20" s="1"/>
  <c r="J76" i="20"/>
  <c r="K76" i="20" s="1"/>
  <c r="J75" i="20"/>
  <c r="K75" i="20" s="1"/>
  <c r="J353" i="20"/>
  <c r="K353" i="20" s="1"/>
  <c r="J361" i="20"/>
  <c r="K361" i="20" s="1"/>
  <c r="J366" i="20"/>
  <c r="K366" i="20" s="1"/>
  <c r="J370" i="20"/>
  <c r="K370" i="20" s="1"/>
  <c r="J374" i="20"/>
  <c r="K374" i="20" s="1"/>
  <c r="J381" i="20"/>
  <c r="K381" i="20" s="1"/>
  <c r="J388" i="20"/>
  <c r="K388" i="20" s="1"/>
  <c r="J392" i="20"/>
  <c r="K392" i="20" s="1"/>
  <c r="J396" i="20"/>
  <c r="K396" i="20" s="1"/>
  <c r="J400" i="20"/>
  <c r="K400" i="20" s="1"/>
  <c r="J404" i="20"/>
  <c r="K404" i="20" s="1"/>
  <c r="J408" i="20"/>
  <c r="K408" i="20" s="1"/>
  <c r="J412" i="20"/>
  <c r="K412" i="20" s="1"/>
  <c r="J416" i="20"/>
  <c r="K416" i="20" s="1"/>
  <c r="J420" i="20"/>
  <c r="K420" i="20" s="1"/>
  <c r="J424" i="20"/>
  <c r="K424" i="20" s="1"/>
  <c r="J428" i="20"/>
  <c r="K428" i="20" s="1"/>
  <c r="J432" i="20"/>
  <c r="K432" i="20" s="1"/>
  <c r="J436" i="20"/>
  <c r="K436" i="20" s="1"/>
  <c r="J440" i="20"/>
  <c r="K440" i="20" s="1"/>
  <c r="J444" i="20"/>
  <c r="K444" i="20" s="1"/>
  <c r="J472" i="20"/>
  <c r="K472" i="20" s="1"/>
  <c r="J476" i="20"/>
  <c r="K476" i="20" s="1"/>
  <c r="J480" i="20"/>
  <c r="K480" i="20" s="1"/>
  <c r="J356" i="20"/>
  <c r="K356" i="20" s="1"/>
  <c r="J376" i="20"/>
  <c r="K376" i="20" s="1"/>
  <c r="J384" i="20"/>
  <c r="K384" i="20" s="1"/>
  <c r="J449" i="20"/>
  <c r="K449" i="20" s="1"/>
  <c r="J453" i="20"/>
  <c r="K453" i="20" s="1"/>
  <c r="J457" i="20"/>
  <c r="K457" i="20" s="1"/>
  <c r="J461" i="20"/>
  <c r="K461" i="20" s="1"/>
  <c r="J465" i="20"/>
  <c r="K465" i="20" s="1"/>
  <c r="J469" i="20"/>
  <c r="K469" i="20" s="1"/>
  <c r="J259" i="20"/>
  <c r="K259" i="20" s="1"/>
  <c r="J263" i="20"/>
  <c r="K263" i="20" s="1"/>
  <c r="J267" i="20"/>
  <c r="K267" i="20" s="1"/>
  <c r="J271" i="20"/>
  <c r="K271" i="20" s="1"/>
  <c r="J275" i="20"/>
  <c r="K275" i="20" s="1"/>
  <c r="J279" i="20"/>
  <c r="K279" i="20" s="1"/>
  <c r="J283" i="20"/>
  <c r="K283" i="20" s="1"/>
  <c r="J287" i="20"/>
  <c r="K287" i="20" s="1"/>
  <c r="J304" i="20"/>
  <c r="K304" i="20" s="1"/>
  <c r="J308" i="20"/>
  <c r="K308" i="20" s="1"/>
  <c r="J312" i="20"/>
  <c r="K312" i="20" s="1"/>
  <c r="J318" i="20"/>
  <c r="K318" i="20" s="1"/>
  <c r="J326" i="20"/>
  <c r="K326" i="20" s="1"/>
  <c r="J330" i="20"/>
  <c r="K330" i="20" s="1"/>
  <c r="J334" i="20"/>
  <c r="K334" i="20" s="1"/>
  <c r="J338" i="20"/>
  <c r="K338" i="20" s="1"/>
  <c r="J346" i="20"/>
  <c r="K346" i="20" s="1"/>
  <c r="J350" i="20"/>
  <c r="K350" i="20" s="1"/>
  <c r="J293" i="20"/>
  <c r="K293" i="20" s="1"/>
  <c r="J297" i="20"/>
  <c r="K297" i="20" s="1"/>
  <c r="J301" i="20"/>
  <c r="K301" i="20" s="1"/>
  <c r="J317" i="20"/>
  <c r="K317" i="20" s="1"/>
  <c r="J325" i="20"/>
  <c r="K325" i="20" s="1"/>
  <c r="J345" i="20"/>
  <c r="K345" i="20" s="1"/>
  <c r="G16" i="5"/>
  <c r="F387" i="20" s="1"/>
  <c r="G387" i="20" s="1"/>
  <c r="G114" i="11"/>
  <c r="Q48" i="11" s="1"/>
  <c r="I16" i="5"/>
  <c r="H387" i="20" s="1"/>
  <c r="I387" i="20" s="1"/>
  <c r="H104" i="20"/>
  <c r="I104" i="20" s="1"/>
  <c r="H98" i="20"/>
  <c r="I98" i="20" s="1"/>
  <c r="H94" i="20"/>
  <c r="I94" i="20" s="1"/>
  <c r="H90" i="20"/>
  <c r="I90" i="20" s="1"/>
  <c r="H86" i="20"/>
  <c r="I86" i="20" s="1"/>
  <c r="H82" i="20"/>
  <c r="I82" i="20" s="1"/>
  <c r="H78" i="20"/>
  <c r="I78" i="20" s="1"/>
  <c r="H74" i="20"/>
  <c r="I74" i="20" s="1"/>
  <c r="U3" i="20"/>
  <c r="V3" i="20" s="1"/>
  <c r="D353" i="20"/>
  <c r="C42" i="21" l="1"/>
  <c r="C40" i="21"/>
  <c r="C41" i="21" s="1"/>
  <c r="C42" i="24"/>
  <c r="C40" i="24"/>
  <c r="C41" i="24" s="1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R38" i="24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R38" i="25"/>
  <c r="C42" i="25"/>
  <c r="C40" i="25"/>
  <c r="C41" i="25" s="1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R38" i="26"/>
  <c r="C42" i="26"/>
  <c r="C40" i="26"/>
  <c r="C41" i="26" s="1"/>
  <c r="C39" i="11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R38" i="23"/>
  <c r="C42" i="23"/>
  <c r="C40" i="23"/>
  <c r="C41" i="23" s="1"/>
  <c r="G75" i="23" s="1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R38" i="22"/>
  <c r="I64" i="22"/>
  <c r="C42" i="22"/>
  <c r="C40" i="22"/>
  <c r="C41" i="22" s="1"/>
  <c r="G75" i="21"/>
  <c r="D389" i="20"/>
  <c r="D5" i="20"/>
  <c r="D4" i="20"/>
  <c r="D9" i="20"/>
  <c r="D10" i="20"/>
  <c r="D11" i="20"/>
  <c r="D12" i="20"/>
  <c r="D13" i="20"/>
  <c r="D14" i="20"/>
  <c r="D15" i="20"/>
  <c r="D17" i="20"/>
  <c r="D18" i="20"/>
  <c r="D19" i="20"/>
  <c r="D21" i="20"/>
  <c r="D22" i="20"/>
  <c r="D23" i="20"/>
  <c r="D24" i="20"/>
  <c r="D25" i="20"/>
  <c r="D26" i="20"/>
  <c r="D27" i="20"/>
  <c r="D28" i="20"/>
  <c r="D29" i="20"/>
  <c r="D30" i="20"/>
  <c r="D31" i="20"/>
  <c r="D33" i="20"/>
  <c r="D34" i="20"/>
  <c r="D35" i="20"/>
  <c r="D36" i="20"/>
  <c r="D37" i="20"/>
  <c r="D38" i="20"/>
  <c r="D39" i="20"/>
  <c r="D40" i="20"/>
  <c r="D41" i="20"/>
  <c r="D42" i="20"/>
  <c r="D43" i="20"/>
  <c r="D45" i="20"/>
  <c r="D6" i="20"/>
  <c r="D7" i="20"/>
  <c r="D8" i="20"/>
  <c r="D16" i="20"/>
  <c r="D20" i="20"/>
  <c r="D32" i="20"/>
  <c r="D44" i="20"/>
  <c r="C40" i="11"/>
  <c r="L148" i="20"/>
  <c r="M148" i="20" s="1"/>
  <c r="L153" i="20"/>
  <c r="L157" i="20"/>
  <c r="L161" i="20"/>
  <c r="L165" i="20"/>
  <c r="L169" i="20"/>
  <c r="L173" i="20"/>
  <c r="L177" i="20"/>
  <c r="L181" i="20"/>
  <c r="L185" i="20"/>
  <c r="L189" i="20"/>
  <c r="L193" i="20"/>
  <c r="L197" i="20"/>
  <c r="L201" i="20"/>
  <c r="L205" i="20"/>
  <c r="L209" i="20"/>
  <c r="L213" i="20"/>
  <c r="L217" i="20"/>
  <c r="L221" i="20"/>
  <c r="M221" i="20" s="1"/>
  <c r="L225" i="20"/>
  <c r="M225" i="20" s="1"/>
  <c r="L229" i="20"/>
  <c r="M229" i="20" s="1"/>
  <c r="L233" i="20"/>
  <c r="M233" i="20" s="1"/>
  <c r="L237" i="20"/>
  <c r="M237" i="20" s="1"/>
  <c r="L241" i="20"/>
  <c r="M241" i="20" s="1"/>
  <c r="L245" i="20"/>
  <c r="M245" i="20" s="1"/>
  <c r="L249" i="20"/>
  <c r="M249" i="20" s="1"/>
  <c r="L253" i="20"/>
  <c r="M253" i="20" s="1"/>
  <c r="L257" i="20"/>
  <c r="M257" i="20" s="1"/>
  <c r="L261" i="20"/>
  <c r="M261" i="20" s="1"/>
  <c r="L265" i="20"/>
  <c r="M265" i="20" s="1"/>
  <c r="L269" i="20"/>
  <c r="M269" i="20" s="1"/>
  <c r="L273" i="20"/>
  <c r="M273" i="20" s="1"/>
  <c r="L277" i="20"/>
  <c r="M277" i="20" s="1"/>
  <c r="L281" i="20"/>
  <c r="M281" i="20" s="1"/>
  <c r="L285" i="20"/>
  <c r="M285" i="20" s="1"/>
  <c r="L289" i="20"/>
  <c r="M289" i="20" s="1"/>
  <c r="L294" i="20"/>
  <c r="M294" i="20" s="1"/>
  <c r="L298" i="20"/>
  <c r="M298" i="20" s="1"/>
  <c r="L302" i="20"/>
  <c r="M302" i="20" s="1"/>
  <c r="L307" i="20"/>
  <c r="M307" i="20" s="1"/>
  <c r="L311" i="20"/>
  <c r="M311" i="20" s="1"/>
  <c r="L315" i="20"/>
  <c r="M315" i="20" s="1"/>
  <c r="L318" i="20"/>
  <c r="M318" i="20" s="1"/>
  <c r="L152" i="20"/>
  <c r="M152" i="20" s="1"/>
  <c r="L156" i="20"/>
  <c r="L160" i="20"/>
  <c r="L164" i="20"/>
  <c r="L168" i="20"/>
  <c r="L172" i="20"/>
  <c r="L176" i="20"/>
  <c r="L180" i="20"/>
  <c r="L184" i="20"/>
  <c r="L188" i="20"/>
  <c r="L192" i="20"/>
  <c r="L196" i="20"/>
  <c r="L200" i="20"/>
  <c r="L204" i="20"/>
  <c r="L210" i="20"/>
  <c r="L218" i="20"/>
  <c r="L226" i="20"/>
  <c r="M226" i="20" s="1"/>
  <c r="L234" i="20"/>
  <c r="M234" i="20" s="1"/>
  <c r="L242" i="20"/>
  <c r="M242" i="20" s="1"/>
  <c r="L250" i="20"/>
  <c r="M250" i="20" s="1"/>
  <c r="L258" i="20"/>
  <c r="M258" i="20" s="1"/>
  <c r="L274" i="20"/>
  <c r="M274" i="20" s="1"/>
  <c r="L290" i="20"/>
  <c r="M290" i="20" s="1"/>
  <c r="L306" i="20"/>
  <c r="M306" i="20" s="1"/>
  <c r="L339" i="20"/>
  <c r="M339" i="20" s="1"/>
  <c r="L370" i="20"/>
  <c r="M370" i="20" s="1"/>
  <c r="L402" i="20"/>
  <c r="M402" i="20" s="1"/>
  <c r="L434" i="20"/>
  <c r="M434" i="20" s="1"/>
  <c r="L454" i="20"/>
  <c r="M454" i="20" s="1"/>
  <c r="L336" i="20"/>
  <c r="M336" i="20" s="1"/>
  <c r="L369" i="20"/>
  <c r="M369" i="20" s="1"/>
  <c r="L401" i="20"/>
  <c r="M401" i="20" s="1"/>
  <c r="L433" i="20"/>
  <c r="M433" i="20" s="1"/>
  <c r="L461" i="20"/>
  <c r="M461" i="20" s="1"/>
  <c r="L481" i="20"/>
  <c r="M481" i="20" s="1"/>
  <c r="L441" i="20"/>
  <c r="M441" i="20" s="1"/>
  <c r="L425" i="20"/>
  <c r="M425" i="20" s="1"/>
  <c r="L409" i="20"/>
  <c r="M409" i="20" s="1"/>
  <c r="L393" i="20"/>
  <c r="M393" i="20" s="1"/>
  <c r="L376" i="20"/>
  <c r="M376" i="20" s="1"/>
  <c r="L360" i="20"/>
  <c r="M360" i="20" s="1"/>
  <c r="L345" i="20"/>
  <c r="M345" i="20" s="1"/>
  <c r="L328" i="20"/>
  <c r="M328" i="20" s="1"/>
  <c r="L462" i="20"/>
  <c r="M462" i="20" s="1"/>
  <c r="L482" i="20"/>
  <c r="M482" i="20" s="1"/>
  <c r="L442" i="20"/>
  <c r="M442" i="20" s="1"/>
  <c r="L426" i="20"/>
  <c r="M426" i="20" s="1"/>
  <c r="L410" i="20"/>
  <c r="M410" i="20" s="1"/>
  <c r="L394" i="20"/>
  <c r="M394" i="20" s="1"/>
  <c r="L379" i="20"/>
  <c r="M379" i="20" s="1"/>
  <c r="L363" i="20"/>
  <c r="M363" i="20" s="1"/>
  <c r="L346" i="20"/>
  <c r="M346" i="20" s="1"/>
  <c r="L331" i="20"/>
  <c r="M331" i="20" s="1"/>
  <c r="L314" i="20"/>
  <c r="M314" i="20" s="1"/>
  <c r="L301" i="20"/>
  <c r="M301" i="20" s="1"/>
  <c r="L293" i="20"/>
  <c r="M293" i="20" s="1"/>
  <c r="L286" i="20"/>
  <c r="M286" i="20" s="1"/>
  <c r="L278" i="20"/>
  <c r="M278" i="20" s="1"/>
  <c r="L270" i="20"/>
  <c r="M270" i="20" s="1"/>
  <c r="L262" i="20"/>
  <c r="M262" i="20" s="1"/>
  <c r="L256" i="20"/>
  <c r="M256" i="20" s="1"/>
  <c r="L252" i="20"/>
  <c r="M252" i="20" s="1"/>
  <c r="L248" i="20"/>
  <c r="M248" i="20" s="1"/>
  <c r="L244" i="20"/>
  <c r="M244" i="20" s="1"/>
  <c r="L240" i="20"/>
  <c r="M240" i="20" s="1"/>
  <c r="L236" i="20"/>
  <c r="M236" i="20" s="1"/>
  <c r="L232" i="20"/>
  <c r="M232" i="20" s="1"/>
  <c r="L228" i="20"/>
  <c r="M228" i="20" s="1"/>
  <c r="L224" i="20"/>
  <c r="M224" i="20" s="1"/>
  <c r="L220" i="20"/>
  <c r="M220" i="20" s="1"/>
  <c r="L216" i="20"/>
  <c r="L212" i="20"/>
  <c r="L208" i="20"/>
  <c r="P460" i="20"/>
  <c r="Q460" i="20" s="1"/>
  <c r="P464" i="20"/>
  <c r="Q464" i="20" s="1"/>
  <c r="P468" i="20"/>
  <c r="Q468" i="20" s="1"/>
  <c r="P314" i="20"/>
  <c r="Q314" i="20" s="1"/>
  <c r="P319" i="20"/>
  <c r="Q319" i="20" s="1"/>
  <c r="P323" i="20"/>
  <c r="Q323" i="20" s="1"/>
  <c r="P327" i="20"/>
  <c r="Q327" i="20" s="1"/>
  <c r="P330" i="20"/>
  <c r="Q330" i="20" s="1"/>
  <c r="P334" i="20"/>
  <c r="Q334" i="20" s="1"/>
  <c r="P338" i="20"/>
  <c r="Q338" i="20" s="1"/>
  <c r="P343" i="20"/>
  <c r="Q343" i="20" s="1"/>
  <c r="P347" i="20"/>
  <c r="Q347" i="20" s="1"/>
  <c r="P351" i="20"/>
  <c r="Q351" i="20" s="1"/>
  <c r="P354" i="20"/>
  <c r="Q354" i="20" s="1"/>
  <c r="P358" i="20"/>
  <c r="Q358" i="20" s="1"/>
  <c r="P362" i="20"/>
  <c r="Q362" i="20" s="1"/>
  <c r="P367" i="20"/>
  <c r="Q367" i="20" s="1"/>
  <c r="P371" i="20"/>
  <c r="Q371" i="20" s="1"/>
  <c r="P375" i="20"/>
  <c r="Q375" i="20" s="1"/>
  <c r="P378" i="20"/>
  <c r="Q378" i="20" s="1"/>
  <c r="P382" i="20"/>
  <c r="Q382" i="20" s="1"/>
  <c r="P386" i="20"/>
  <c r="Q386" i="20" s="1"/>
  <c r="P391" i="20"/>
  <c r="Q391" i="20" s="1"/>
  <c r="P395" i="20"/>
  <c r="Q395" i="20" s="1"/>
  <c r="P399" i="20"/>
  <c r="Q399" i="20" s="1"/>
  <c r="P403" i="20"/>
  <c r="Q403" i="20" s="1"/>
  <c r="P407" i="20"/>
  <c r="Q407" i="20" s="1"/>
  <c r="P411" i="20"/>
  <c r="Q411" i="20" s="1"/>
  <c r="P415" i="20"/>
  <c r="Q415" i="20" s="1"/>
  <c r="P419" i="20"/>
  <c r="Q419" i="20" s="1"/>
  <c r="P423" i="20"/>
  <c r="Q423" i="20" s="1"/>
  <c r="P427" i="20"/>
  <c r="Q427" i="20" s="1"/>
  <c r="P431" i="20"/>
  <c r="Q431" i="20" s="1"/>
  <c r="P435" i="20"/>
  <c r="Q435" i="20" s="1"/>
  <c r="P439" i="20"/>
  <c r="Q439" i="20" s="1"/>
  <c r="P443" i="20"/>
  <c r="Q443" i="20" s="1"/>
  <c r="P471" i="20"/>
  <c r="Q471" i="20" s="1"/>
  <c r="P475" i="20"/>
  <c r="Q475" i="20" s="1"/>
  <c r="P479" i="20"/>
  <c r="Q479" i="20" s="1"/>
  <c r="P447" i="20"/>
  <c r="Q447" i="20" s="1"/>
  <c r="P451" i="20"/>
  <c r="Q451" i="20" s="1"/>
  <c r="P455" i="20"/>
  <c r="Q455" i="20" s="1"/>
  <c r="P459" i="20"/>
  <c r="Q459" i="20" s="1"/>
  <c r="P463" i="20"/>
  <c r="Q463" i="20" s="1"/>
  <c r="P467" i="20"/>
  <c r="Q467" i="20" s="1"/>
  <c r="I64" i="26"/>
  <c r="S122" i="26"/>
  <c r="S123" i="26" s="1"/>
  <c r="D305" i="20"/>
  <c r="L149" i="20"/>
  <c r="M149" i="20" s="1"/>
  <c r="L467" i="20"/>
  <c r="M467" i="20" s="1"/>
  <c r="L463" i="20"/>
  <c r="M463" i="20" s="1"/>
  <c r="L459" i="20"/>
  <c r="M459" i="20" s="1"/>
  <c r="L455" i="20"/>
  <c r="M455" i="20" s="1"/>
  <c r="L451" i="20"/>
  <c r="M451" i="20" s="1"/>
  <c r="L447" i="20"/>
  <c r="M447" i="20" s="1"/>
  <c r="L479" i="20"/>
  <c r="M479" i="20" s="1"/>
  <c r="L475" i="20"/>
  <c r="M475" i="20" s="1"/>
  <c r="L471" i="20"/>
  <c r="M471" i="20" s="1"/>
  <c r="L443" i="20"/>
  <c r="M443" i="20" s="1"/>
  <c r="L439" i="20"/>
  <c r="M439" i="20" s="1"/>
  <c r="L435" i="20"/>
  <c r="M435" i="20" s="1"/>
  <c r="L431" i="20"/>
  <c r="M431" i="20" s="1"/>
  <c r="L427" i="20"/>
  <c r="M427" i="20" s="1"/>
  <c r="L423" i="20"/>
  <c r="M423" i="20" s="1"/>
  <c r="L419" i="20"/>
  <c r="M419" i="20" s="1"/>
  <c r="L415" i="20"/>
  <c r="M415" i="20" s="1"/>
  <c r="L411" i="20"/>
  <c r="M411" i="20" s="1"/>
  <c r="L407" i="20"/>
  <c r="M407" i="20" s="1"/>
  <c r="L403" i="20"/>
  <c r="M403" i="20" s="1"/>
  <c r="L399" i="20"/>
  <c r="M399" i="20" s="1"/>
  <c r="L395" i="20"/>
  <c r="M395" i="20" s="1"/>
  <c r="L391" i="20"/>
  <c r="M391" i="20" s="1"/>
  <c r="L386" i="20"/>
  <c r="M386" i="20" s="1"/>
  <c r="L382" i="20"/>
  <c r="M382" i="20" s="1"/>
  <c r="L378" i="20"/>
  <c r="M378" i="20" s="1"/>
  <c r="L375" i="20"/>
  <c r="M375" i="20" s="1"/>
  <c r="L371" i="20"/>
  <c r="M371" i="20" s="1"/>
  <c r="L367" i="20"/>
  <c r="M367" i="20" s="1"/>
  <c r="L362" i="20"/>
  <c r="M362" i="20" s="1"/>
  <c r="L358" i="20"/>
  <c r="M358" i="20" s="1"/>
  <c r="L354" i="20"/>
  <c r="M354" i="20" s="1"/>
  <c r="L351" i="20"/>
  <c r="M351" i="20" s="1"/>
  <c r="L347" i="20"/>
  <c r="M347" i="20" s="1"/>
  <c r="L343" i="20"/>
  <c r="M343" i="20" s="1"/>
  <c r="L338" i="20"/>
  <c r="M338" i="20" s="1"/>
  <c r="L334" i="20"/>
  <c r="M334" i="20" s="1"/>
  <c r="L330" i="20"/>
  <c r="M330" i="20" s="1"/>
  <c r="L327" i="20"/>
  <c r="M327" i="20" s="1"/>
  <c r="L323" i="20"/>
  <c r="M323" i="20" s="1"/>
  <c r="L468" i="20"/>
  <c r="M468" i="20" s="1"/>
  <c r="L464" i="20"/>
  <c r="M464" i="20" s="1"/>
  <c r="L460" i="20"/>
  <c r="M460" i="20" s="1"/>
  <c r="L456" i="20"/>
  <c r="M456" i="20" s="1"/>
  <c r="L452" i="20"/>
  <c r="M452" i="20" s="1"/>
  <c r="L448" i="20"/>
  <c r="M448" i="20" s="1"/>
  <c r="L480" i="20"/>
  <c r="M480" i="20" s="1"/>
  <c r="L476" i="20"/>
  <c r="M476" i="20" s="1"/>
  <c r="L472" i="20"/>
  <c r="M472" i="20" s="1"/>
  <c r="L444" i="20"/>
  <c r="M444" i="20" s="1"/>
  <c r="L440" i="20"/>
  <c r="M440" i="20" s="1"/>
  <c r="L436" i="20"/>
  <c r="M436" i="20" s="1"/>
  <c r="L432" i="20"/>
  <c r="M432" i="20" s="1"/>
  <c r="L428" i="20"/>
  <c r="M428" i="20" s="1"/>
  <c r="L424" i="20"/>
  <c r="M424" i="20" s="1"/>
  <c r="L420" i="20"/>
  <c r="M420" i="20" s="1"/>
  <c r="L416" i="20"/>
  <c r="M416" i="20" s="1"/>
  <c r="L412" i="20"/>
  <c r="M412" i="20" s="1"/>
  <c r="L408" i="20"/>
  <c r="M408" i="20" s="1"/>
  <c r="L404" i="20"/>
  <c r="M404" i="20" s="1"/>
  <c r="L400" i="20"/>
  <c r="M400" i="20" s="1"/>
  <c r="L396" i="20"/>
  <c r="M396" i="20" s="1"/>
  <c r="L392" i="20"/>
  <c r="M392" i="20" s="1"/>
  <c r="L388" i="20"/>
  <c r="M388" i="20" s="1"/>
  <c r="L385" i="20"/>
  <c r="M385" i="20" s="1"/>
  <c r="L381" i="20"/>
  <c r="M381" i="20" s="1"/>
  <c r="L377" i="20"/>
  <c r="M377" i="20" s="1"/>
  <c r="L372" i="20"/>
  <c r="M372" i="20" s="1"/>
  <c r="L368" i="20"/>
  <c r="M368" i="20" s="1"/>
  <c r="L364" i="20"/>
  <c r="M364" i="20" s="1"/>
  <c r="L361" i="20"/>
  <c r="M361" i="20" s="1"/>
  <c r="L357" i="20"/>
  <c r="M357" i="20" s="1"/>
  <c r="L353" i="20"/>
  <c r="M353" i="20" s="1"/>
  <c r="L348" i="20"/>
  <c r="M348" i="20" s="1"/>
  <c r="L344" i="20"/>
  <c r="M344" i="20" s="1"/>
  <c r="L340" i="20"/>
  <c r="M340" i="20" s="1"/>
  <c r="L337" i="20"/>
  <c r="M337" i="20" s="1"/>
  <c r="L333" i="20"/>
  <c r="M333" i="20" s="1"/>
  <c r="L329" i="20"/>
  <c r="M329" i="20" s="1"/>
  <c r="L324" i="20"/>
  <c r="M324" i="20" s="1"/>
  <c r="L320" i="20"/>
  <c r="M320" i="20" s="1"/>
  <c r="L317" i="20"/>
  <c r="M317" i="20" s="1"/>
  <c r="L312" i="20"/>
  <c r="M312" i="20" s="1"/>
  <c r="L308" i="20"/>
  <c r="M308" i="20" s="1"/>
  <c r="L304" i="20"/>
  <c r="M304" i="20" s="1"/>
  <c r="L260" i="20"/>
  <c r="M260" i="20" s="1"/>
  <c r="L264" i="20"/>
  <c r="M264" i="20" s="1"/>
  <c r="L268" i="20"/>
  <c r="M268" i="20" s="1"/>
  <c r="L272" i="20"/>
  <c r="M272" i="20" s="1"/>
  <c r="L276" i="20"/>
  <c r="M276" i="20" s="1"/>
  <c r="L280" i="20"/>
  <c r="M280" i="20" s="1"/>
  <c r="L284" i="20"/>
  <c r="M284" i="20" s="1"/>
  <c r="L288" i="20"/>
  <c r="M288" i="20" s="1"/>
  <c r="L291" i="20"/>
  <c r="M291" i="20" s="1"/>
  <c r="L295" i="20"/>
  <c r="M295" i="20" s="1"/>
  <c r="L299" i="20"/>
  <c r="M299" i="20" s="1"/>
  <c r="L303" i="20"/>
  <c r="M303" i="20" s="1"/>
  <c r="L310" i="20"/>
  <c r="M310" i="20" s="1"/>
  <c r="L319" i="20"/>
  <c r="M319" i="20" s="1"/>
  <c r="L326" i="20"/>
  <c r="M326" i="20" s="1"/>
  <c r="L335" i="20"/>
  <c r="M335" i="20" s="1"/>
  <c r="L342" i="20"/>
  <c r="M342" i="20" s="1"/>
  <c r="L350" i="20"/>
  <c r="M350" i="20" s="1"/>
  <c r="L359" i="20"/>
  <c r="M359" i="20" s="1"/>
  <c r="L366" i="20"/>
  <c r="M366" i="20" s="1"/>
  <c r="L374" i="20"/>
  <c r="M374" i="20" s="1"/>
  <c r="L383" i="20"/>
  <c r="M383" i="20" s="1"/>
  <c r="L390" i="20"/>
  <c r="M390" i="20" s="1"/>
  <c r="L398" i="20"/>
  <c r="M398" i="20" s="1"/>
  <c r="L406" i="20"/>
  <c r="M406" i="20" s="1"/>
  <c r="L414" i="20"/>
  <c r="M414" i="20" s="1"/>
  <c r="L422" i="20"/>
  <c r="M422" i="20" s="1"/>
  <c r="L430" i="20"/>
  <c r="M430" i="20" s="1"/>
  <c r="L438" i="20"/>
  <c r="M438" i="20" s="1"/>
  <c r="L446" i="20"/>
  <c r="M446" i="20" s="1"/>
  <c r="L478" i="20"/>
  <c r="M478" i="20" s="1"/>
  <c r="L450" i="20"/>
  <c r="M450" i="20" s="1"/>
  <c r="L458" i="20"/>
  <c r="M458" i="20" s="1"/>
  <c r="L466" i="20"/>
  <c r="M466" i="20" s="1"/>
  <c r="L325" i="20"/>
  <c r="M325" i="20" s="1"/>
  <c r="L332" i="20"/>
  <c r="M332" i="20" s="1"/>
  <c r="L341" i="20"/>
  <c r="M341" i="20" s="1"/>
  <c r="L349" i="20"/>
  <c r="M349" i="20" s="1"/>
  <c r="L356" i="20"/>
  <c r="M356" i="20" s="1"/>
  <c r="L365" i="20"/>
  <c r="M365" i="20" s="1"/>
  <c r="L373" i="20"/>
  <c r="M373" i="20" s="1"/>
  <c r="L380" i="20"/>
  <c r="M380" i="20" s="1"/>
  <c r="L389" i="20"/>
  <c r="M389" i="20" s="1"/>
  <c r="L397" i="20"/>
  <c r="M397" i="20" s="1"/>
  <c r="L405" i="20"/>
  <c r="M405" i="20" s="1"/>
  <c r="L413" i="20"/>
  <c r="M413" i="20" s="1"/>
  <c r="L421" i="20"/>
  <c r="M421" i="20" s="1"/>
  <c r="L429" i="20"/>
  <c r="M429" i="20" s="1"/>
  <c r="L437" i="20"/>
  <c r="M437" i="20" s="1"/>
  <c r="L445" i="20"/>
  <c r="M445" i="20" s="1"/>
  <c r="L477" i="20"/>
  <c r="M477" i="20" s="1"/>
  <c r="L449" i="20"/>
  <c r="M449" i="20" s="1"/>
  <c r="L457" i="20"/>
  <c r="M457" i="20" s="1"/>
  <c r="L465" i="20"/>
  <c r="M465" i="20" s="1"/>
  <c r="J359" i="20"/>
  <c r="K359" i="20" s="1"/>
  <c r="J369" i="20"/>
  <c r="K369" i="20" s="1"/>
  <c r="J379" i="20"/>
  <c r="K379" i="20" s="1"/>
  <c r="J391" i="20"/>
  <c r="K391" i="20" s="1"/>
  <c r="J399" i="20"/>
  <c r="K399" i="20" s="1"/>
  <c r="J407" i="20"/>
  <c r="K407" i="20" s="1"/>
  <c r="J415" i="20"/>
  <c r="K415" i="20" s="1"/>
  <c r="J423" i="20"/>
  <c r="K423" i="20" s="1"/>
  <c r="J431" i="20"/>
  <c r="K431" i="20" s="1"/>
  <c r="J439" i="20"/>
  <c r="K439" i="20" s="1"/>
  <c r="J471" i="20"/>
  <c r="K471" i="20" s="1"/>
  <c r="J479" i="20"/>
  <c r="K479" i="20" s="1"/>
  <c r="J362" i="20"/>
  <c r="K362" i="20" s="1"/>
  <c r="J448" i="20"/>
  <c r="K448" i="20" s="1"/>
  <c r="J456" i="20"/>
  <c r="K456" i="20" s="1"/>
  <c r="J464" i="20"/>
  <c r="K464" i="20" s="1"/>
  <c r="J258" i="20"/>
  <c r="K258" i="20" s="1"/>
  <c r="J266" i="20"/>
  <c r="K266" i="20" s="1"/>
  <c r="J274" i="20"/>
  <c r="K274" i="20" s="1"/>
  <c r="J282" i="20"/>
  <c r="K282" i="20" s="1"/>
  <c r="J290" i="20"/>
  <c r="K290" i="20" s="1"/>
  <c r="J311" i="20"/>
  <c r="K311" i="20" s="1"/>
  <c r="J323" i="20"/>
  <c r="K323" i="20" s="1"/>
  <c r="J333" i="20"/>
  <c r="K333" i="20" s="1"/>
  <c r="J343" i="20"/>
  <c r="K343" i="20" s="1"/>
  <c r="J292" i="20"/>
  <c r="K292" i="20" s="1"/>
  <c r="J300" i="20"/>
  <c r="K300" i="20" s="1"/>
  <c r="J324" i="20"/>
  <c r="K324" i="20" s="1"/>
  <c r="J256" i="20"/>
  <c r="K256" i="20" s="1"/>
  <c r="J254" i="20"/>
  <c r="K254" i="20" s="1"/>
  <c r="J252" i="20"/>
  <c r="K252" i="20" s="1"/>
  <c r="J250" i="20"/>
  <c r="K250" i="20" s="1"/>
  <c r="J248" i="20"/>
  <c r="K248" i="20" s="1"/>
  <c r="J246" i="20"/>
  <c r="K246" i="20" s="1"/>
  <c r="J244" i="20"/>
  <c r="K244" i="20" s="1"/>
  <c r="J242" i="20"/>
  <c r="K242" i="20" s="1"/>
  <c r="J240" i="20"/>
  <c r="K240" i="20" s="1"/>
  <c r="J238" i="20"/>
  <c r="J236" i="20"/>
  <c r="J234" i="20"/>
  <c r="J232" i="20"/>
  <c r="J230" i="20"/>
  <c r="J228" i="20"/>
  <c r="J226" i="20"/>
  <c r="J224" i="20"/>
  <c r="J222" i="20"/>
  <c r="J220" i="20"/>
  <c r="J218" i="20"/>
  <c r="J216" i="20"/>
  <c r="J214" i="20"/>
  <c r="J212" i="20"/>
  <c r="J210" i="20"/>
  <c r="J208" i="20"/>
  <c r="J206" i="20"/>
  <c r="J204" i="20"/>
  <c r="J202" i="20"/>
  <c r="J200" i="20"/>
  <c r="J198" i="20"/>
  <c r="J196" i="20"/>
  <c r="J194" i="20"/>
  <c r="J192" i="20"/>
  <c r="J190" i="20"/>
  <c r="J188" i="20"/>
  <c r="J186" i="20"/>
  <c r="J184" i="20"/>
  <c r="J182" i="20"/>
  <c r="J180" i="20"/>
  <c r="J178" i="20"/>
  <c r="J176" i="20"/>
  <c r="J174" i="20"/>
  <c r="J172" i="20"/>
  <c r="J170" i="20"/>
  <c r="J168" i="20"/>
  <c r="J166" i="20"/>
  <c r="J164" i="20"/>
  <c r="J162" i="20"/>
  <c r="J160" i="20"/>
  <c r="J158" i="20"/>
  <c r="J156" i="20"/>
  <c r="J154" i="20"/>
  <c r="J152" i="20"/>
  <c r="J150" i="20"/>
  <c r="J148" i="20"/>
  <c r="J146" i="20"/>
  <c r="K146" i="20" s="1"/>
  <c r="J144" i="20"/>
  <c r="K144" i="20" s="1"/>
  <c r="D390" i="20"/>
  <c r="D329" i="20"/>
  <c r="D377" i="20"/>
  <c r="J341" i="20"/>
  <c r="K341" i="20" s="1"/>
  <c r="J321" i="20"/>
  <c r="K321" i="20" s="1"/>
  <c r="J303" i="20"/>
  <c r="K303" i="20" s="1"/>
  <c r="J299" i="20"/>
  <c r="K299" i="20" s="1"/>
  <c r="J295" i="20"/>
  <c r="K295" i="20" s="1"/>
  <c r="J291" i="20"/>
  <c r="K291" i="20" s="1"/>
  <c r="J348" i="20"/>
  <c r="K348" i="20" s="1"/>
  <c r="J342" i="20"/>
  <c r="K342" i="20" s="1"/>
  <c r="J336" i="20"/>
  <c r="K336" i="20" s="1"/>
  <c r="J332" i="20"/>
  <c r="K332" i="20" s="1"/>
  <c r="J328" i="20"/>
  <c r="K328" i="20" s="1"/>
  <c r="J322" i="20"/>
  <c r="K322" i="20" s="1"/>
  <c r="J314" i="20"/>
  <c r="K314" i="20" s="1"/>
  <c r="J310" i="20"/>
  <c r="K310" i="20" s="1"/>
  <c r="J306" i="20"/>
  <c r="K306" i="20" s="1"/>
  <c r="J289" i="20"/>
  <c r="K289" i="20" s="1"/>
  <c r="J285" i="20"/>
  <c r="K285" i="20" s="1"/>
  <c r="J281" i="20"/>
  <c r="K281" i="20" s="1"/>
  <c r="J277" i="20"/>
  <c r="K277" i="20" s="1"/>
  <c r="J273" i="20"/>
  <c r="K273" i="20" s="1"/>
  <c r="J269" i="20"/>
  <c r="K269" i="20" s="1"/>
  <c r="J265" i="20"/>
  <c r="K265" i="20" s="1"/>
  <c r="J261" i="20"/>
  <c r="K261" i="20" s="1"/>
  <c r="J257" i="20"/>
  <c r="K257" i="20" s="1"/>
  <c r="J467" i="20"/>
  <c r="K467" i="20" s="1"/>
  <c r="J463" i="20"/>
  <c r="K463" i="20" s="1"/>
  <c r="J459" i="20"/>
  <c r="K459" i="20" s="1"/>
  <c r="J455" i="20"/>
  <c r="K455" i="20" s="1"/>
  <c r="J451" i="20"/>
  <c r="K451" i="20" s="1"/>
  <c r="J447" i="20"/>
  <c r="K447" i="20" s="1"/>
  <c r="J380" i="20"/>
  <c r="K380" i="20" s="1"/>
  <c r="J360" i="20"/>
  <c r="K360" i="20" s="1"/>
  <c r="J482" i="20"/>
  <c r="K482" i="20" s="1"/>
  <c r="J478" i="20"/>
  <c r="K478" i="20" s="1"/>
  <c r="J474" i="20"/>
  <c r="K474" i="20" s="1"/>
  <c r="J446" i="20"/>
  <c r="K446" i="20" s="1"/>
  <c r="J442" i="20"/>
  <c r="K442" i="20" s="1"/>
  <c r="J438" i="20"/>
  <c r="K438" i="20" s="1"/>
  <c r="J434" i="20"/>
  <c r="K434" i="20" s="1"/>
  <c r="J430" i="20"/>
  <c r="K430" i="20" s="1"/>
  <c r="J426" i="20"/>
  <c r="K426" i="20" s="1"/>
  <c r="J422" i="20"/>
  <c r="K422" i="20" s="1"/>
  <c r="J418" i="20"/>
  <c r="K418" i="20" s="1"/>
  <c r="J414" i="20"/>
  <c r="K414" i="20" s="1"/>
  <c r="J410" i="20"/>
  <c r="K410" i="20" s="1"/>
  <c r="J406" i="20"/>
  <c r="K406" i="20" s="1"/>
  <c r="J402" i="20"/>
  <c r="K402" i="20" s="1"/>
  <c r="J398" i="20"/>
  <c r="K398" i="20" s="1"/>
  <c r="J394" i="20"/>
  <c r="K394" i="20" s="1"/>
  <c r="J390" i="20"/>
  <c r="K390" i="20" s="1"/>
  <c r="J385" i="20"/>
  <c r="K385" i="20" s="1"/>
  <c r="J377" i="20"/>
  <c r="K377" i="20" s="1"/>
  <c r="J372" i="20"/>
  <c r="K372" i="20" s="1"/>
  <c r="J368" i="20"/>
  <c r="K368" i="20" s="1"/>
  <c r="J364" i="20"/>
  <c r="K364" i="20" s="1"/>
  <c r="J357" i="20"/>
  <c r="K357" i="20" s="1"/>
  <c r="J143" i="20"/>
  <c r="K143" i="20" s="1"/>
  <c r="J147" i="20"/>
  <c r="J151" i="20"/>
  <c r="J155" i="20"/>
  <c r="J159" i="20"/>
  <c r="J163" i="20"/>
  <c r="J167" i="20"/>
  <c r="J171" i="20"/>
  <c r="J175" i="20"/>
  <c r="J179" i="20"/>
  <c r="J183" i="20"/>
  <c r="J187" i="20"/>
  <c r="J191" i="20"/>
  <c r="J195" i="20"/>
  <c r="J199" i="20"/>
  <c r="J203" i="20"/>
  <c r="J207" i="20"/>
  <c r="J211" i="20"/>
  <c r="J215" i="20"/>
  <c r="J219" i="20"/>
  <c r="J223" i="20"/>
  <c r="J227" i="20"/>
  <c r="J231" i="20"/>
  <c r="J235" i="20"/>
  <c r="J239" i="20"/>
  <c r="J243" i="20"/>
  <c r="K243" i="20" s="1"/>
  <c r="J247" i="20"/>
  <c r="K247" i="20" s="1"/>
  <c r="J251" i="20"/>
  <c r="K251" i="20" s="1"/>
  <c r="J255" i="20"/>
  <c r="K255" i="20" s="1"/>
  <c r="J316" i="20"/>
  <c r="K316" i="20" s="1"/>
  <c r="J349" i="20"/>
  <c r="K349" i="20" s="1"/>
  <c r="J329" i="20"/>
  <c r="K329" i="20" s="1"/>
  <c r="J307" i="20"/>
  <c r="K307" i="20" s="1"/>
  <c r="J278" i="20"/>
  <c r="K278" i="20" s="1"/>
  <c r="J262" i="20"/>
  <c r="K262" i="20" s="1"/>
  <c r="J460" i="20"/>
  <c r="K460" i="20" s="1"/>
  <c r="J382" i="20"/>
  <c r="K382" i="20" s="1"/>
  <c r="J475" i="20"/>
  <c r="K475" i="20" s="1"/>
  <c r="J435" i="20"/>
  <c r="K435" i="20" s="1"/>
  <c r="J419" i="20"/>
  <c r="K419" i="20" s="1"/>
  <c r="J403" i="20"/>
  <c r="K403" i="20" s="1"/>
  <c r="J387" i="20"/>
  <c r="K387" i="20" s="1"/>
  <c r="J365" i="20"/>
  <c r="K365" i="20" s="1"/>
  <c r="H367" i="20"/>
  <c r="I367" i="20" s="1"/>
  <c r="H268" i="20"/>
  <c r="I268" i="20" s="1"/>
  <c r="I64" i="25"/>
  <c r="U122" i="25"/>
  <c r="U123" i="25" s="1"/>
  <c r="T122" i="25"/>
  <c r="T123" i="25" s="1"/>
  <c r="I64" i="23"/>
  <c r="I64" i="24"/>
  <c r="U122" i="24"/>
  <c r="U123" i="24" s="1"/>
  <c r="T122" i="24"/>
  <c r="T123" i="24" s="1"/>
  <c r="T122" i="23"/>
  <c r="T123" i="23" s="1"/>
  <c r="U122" i="23"/>
  <c r="U123" i="23" s="1"/>
  <c r="W44" i="23"/>
  <c r="H227" i="20"/>
  <c r="I227" i="20" s="1"/>
  <c r="H250" i="20"/>
  <c r="I250" i="20" s="1"/>
  <c r="D28" i="11"/>
  <c r="C122" i="11"/>
  <c r="C123" i="11" s="1"/>
  <c r="D65" i="11"/>
  <c r="C53" i="11" s="1"/>
  <c r="C34" i="11" s="1"/>
  <c r="E48" i="21"/>
  <c r="S48" i="21"/>
  <c r="O48" i="21"/>
  <c r="K48" i="21"/>
  <c r="T48" i="21"/>
  <c r="P48" i="21"/>
  <c r="L48" i="21"/>
  <c r="H48" i="21"/>
  <c r="D48" i="21"/>
  <c r="R38" i="21"/>
  <c r="G48" i="21"/>
  <c r="U48" i="21"/>
  <c r="Q48" i="21"/>
  <c r="M48" i="21"/>
  <c r="I48" i="21"/>
  <c r="R48" i="21"/>
  <c r="N48" i="21"/>
  <c r="J48" i="21"/>
  <c r="F48" i="21"/>
  <c r="C48" i="21"/>
  <c r="I64" i="21"/>
  <c r="S122" i="21"/>
  <c r="S123" i="21" s="1"/>
  <c r="T28" i="21"/>
  <c r="H302" i="20"/>
  <c r="I302" i="20" s="1"/>
  <c r="H163" i="20"/>
  <c r="H172" i="20"/>
  <c r="H209" i="20"/>
  <c r="D55" i="11"/>
  <c r="U52" i="11"/>
  <c r="C55" i="11"/>
  <c r="D52" i="11"/>
  <c r="E51" i="11"/>
  <c r="G48" i="11"/>
  <c r="H343" i="20"/>
  <c r="I343" i="20" s="1"/>
  <c r="H335" i="20"/>
  <c r="I335" i="20" s="1"/>
  <c r="H269" i="20"/>
  <c r="I269" i="20" s="1"/>
  <c r="H195" i="20"/>
  <c r="H299" i="20"/>
  <c r="I299" i="20" s="1"/>
  <c r="H236" i="20"/>
  <c r="I236" i="20" s="1"/>
  <c r="H204" i="20"/>
  <c r="H145" i="20"/>
  <c r="H298" i="20"/>
  <c r="I298" i="20" s="1"/>
  <c r="H26" i="11"/>
  <c r="J26" i="11"/>
  <c r="S48" i="11"/>
  <c r="F327" i="20"/>
  <c r="G327" i="20" s="1"/>
  <c r="F375" i="20"/>
  <c r="G375" i="20" s="1"/>
  <c r="F351" i="20"/>
  <c r="G351" i="20" s="1"/>
  <c r="F291" i="20"/>
  <c r="G291" i="20" s="1"/>
  <c r="H374" i="20"/>
  <c r="I374" i="20" s="1"/>
  <c r="H311" i="20"/>
  <c r="I311" i="20" s="1"/>
  <c r="H350" i="20"/>
  <c r="I350" i="20" s="1"/>
  <c r="H319" i="20"/>
  <c r="I319" i="20" s="1"/>
  <c r="H285" i="20"/>
  <c r="I285" i="20" s="1"/>
  <c r="H243" i="20"/>
  <c r="I243" i="20" s="1"/>
  <c r="H211" i="20"/>
  <c r="H179" i="20"/>
  <c r="H147" i="20"/>
  <c r="H284" i="20"/>
  <c r="I284" i="20" s="1"/>
  <c r="H252" i="20"/>
  <c r="I252" i="20" s="1"/>
  <c r="H351" i="20"/>
  <c r="I351" i="20" s="1"/>
  <c r="H188" i="20"/>
  <c r="H220" i="20"/>
  <c r="I220" i="20" s="1"/>
  <c r="H282" i="20"/>
  <c r="I282" i="20" s="1"/>
  <c r="H177" i="20"/>
  <c r="H241" i="20"/>
  <c r="I241" i="20" s="1"/>
  <c r="H362" i="20"/>
  <c r="I362" i="20" s="1"/>
  <c r="J344" i="20"/>
  <c r="K344" i="20" s="1"/>
  <c r="J352" i="20"/>
  <c r="K352" i="20" s="1"/>
  <c r="J302" i="20"/>
  <c r="K302" i="20" s="1"/>
  <c r="J294" i="20"/>
  <c r="K294" i="20" s="1"/>
  <c r="J347" i="20"/>
  <c r="K347" i="20" s="1"/>
  <c r="J335" i="20"/>
  <c r="K335" i="20" s="1"/>
  <c r="J327" i="20"/>
  <c r="K327" i="20" s="1"/>
  <c r="J313" i="20"/>
  <c r="K313" i="20" s="1"/>
  <c r="J305" i="20"/>
  <c r="K305" i="20" s="1"/>
  <c r="J284" i="20"/>
  <c r="K284" i="20" s="1"/>
  <c r="J276" i="20"/>
  <c r="K276" i="20" s="1"/>
  <c r="J268" i="20"/>
  <c r="K268" i="20" s="1"/>
  <c r="J260" i="20"/>
  <c r="K260" i="20" s="1"/>
  <c r="J466" i="20"/>
  <c r="K466" i="20" s="1"/>
  <c r="J458" i="20"/>
  <c r="K458" i="20" s="1"/>
  <c r="J450" i="20"/>
  <c r="K450" i="20" s="1"/>
  <c r="J378" i="20"/>
  <c r="K378" i="20" s="1"/>
  <c r="J481" i="20"/>
  <c r="K481" i="20" s="1"/>
  <c r="J473" i="20"/>
  <c r="K473" i="20" s="1"/>
  <c r="J441" i="20"/>
  <c r="K441" i="20" s="1"/>
  <c r="J433" i="20"/>
  <c r="K433" i="20" s="1"/>
  <c r="J425" i="20"/>
  <c r="K425" i="20" s="1"/>
  <c r="J417" i="20"/>
  <c r="K417" i="20" s="1"/>
  <c r="J409" i="20"/>
  <c r="K409" i="20" s="1"/>
  <c r="J401" i="20"/>
  <c r="K401" i="20" s="1"/>
  <c r="J393" i="20"/>
  <c r="K393" i="20" s="1"/>
  <c r="J383" i="20"/>
  <c r="K383" i="20" s="1"/>
  <c r="J371" i="20"/>
  <c r="K371" i="20" s="1"/>
  <c r="J363" i="20"/>
  <c r="K363" i="20" s="1"/>
  <c r="J320" i="20"/>
  <c r="K320" i="20" s="1"/>
  <c r="J351" i="20"/>
  <c r="K351" i="20" s="1"/>
  <c r="J331" i="20"/>
  <c r="K331" i="20" s="1"/>
  <c r="J309" i="20"/>
  <c r="K309" i="20" s="1"/>
  <c r="J280" i="20"/>
  <c r="K280" i="20" s="1"/>
  <c r="J264" i="20"/>
  <c r="K264" i="20" s="1"/>
  <c r="J462" i="20"/>
  <c r="K462" i="20" s="1"/>
  <c r="J386" i="20"/>
  <c r="K386" i="20" s="1"/>
  <c r="J477" i="20"/>
  <c r="K477" i="20" s="1"/>
  <c r="J437" i="20"/>
  <c r="K437" i="20" s="1"/>
  <c r="J421" i="20"/>
  <c r="K421" i="20" s="1"/>
  <c r="J405" i="20"/>
  <c r="K405" i="20" s="1"/>
  <c r="J389" i="20"/>
  <c r="K389" i="20" s="1"/>
  <c r="J367" i="20"/>
  <c r="K367" i="20" s="1"/>
  <c r="J298" i="20"/>
  <c r="K298" i="20" s="1"/>
  <c r="J339" i="20"/>
  <c r="K339" i="20" s="1"/>
  <c r="J319" i="20"/>
  <c r="K319" i="20" s="1"/>
  <c r="J288" i="20"/>
  <c r="K288" i="20" s="1"/>
  <c r="J272" i="20"/>
  <c r="K272" i="20" s="1"/>
  <c r="J470" i="20"/>
  <c r="K470" i="20" s="1"/>
  <c r="J454" i="20"/>
  <c r="K454" i="20" s="1"/>
  <c r="J358" i="20"/>
  <c r="K358" i="20" s="1"/>
  <c r="J445" i="20"/>
  <c r="K445" i="20" s="1"/>
  <c r="J429" i="20"/>
  <c r="K429" i="20" s="1"/>
  <c r="J413" i="20"/>
  <c r="K413" i="20" s="1"/>
  <c r="J397" i="20"/>
  <c r="K397" i="20" s="1"/>
  <c r="J375" i="20"/>
  <c r="K375" i="20" s="1"/>
  <c r="J355" i="20"/>
  <c r="K355" i="20" s="1"/>
  <c r="C48" i="11"/>
  <c r="O48" i="11"/>
  <c r="U48" i="11"/>
  <c r="K26" i="11"/>
  <c r="L26" i="11"/>
  <c r="M26" i="11"/>
  <c r="Q26" i="11"/>
  <c r="P26" i="11"/>
  <c r="T26" i="11"/>
  <c r="N26" i="11"/>
  <c r="U26" i="11"/>
  <c r="D292" i="20"/>
  <c r="D317" i="20"/>
  <c r="D341" i="20"/>
  <c r="D365" i="20"/>
  <c r="O26" i="11"/>
  <c r="S26" i="11"/>
  <c r="I26" i="11"/>
  <c r="D46" i="20"/>
  <c r="D47" i="20"/>
  <c r="D48" i="20"/>
  <c r="D49" i="20"/>
  <c r="D50" i="20"/>
  <c r="D51" i="20"/>
  <c r="D52" i="20"/>
  <c r="D53" i="20"/>
  <c r="D55" i="20"/>
  <c r="D56" i="20"/>
  <c r="D57" i="20"/>
  <c r="D54" i="20"/>
  <c r="I65" i="11"/>
  <c r="H253" i="20"/>
  <c r="I253" i="20" s="1"/>
  <c r="H235" i="20"/>
  <c r="I235" i="20" s="1"/>
  <c r="H219" i="20"/>
  <c r="I219" i="20" s="1"/>
  <c r="H203" i="20"/>
  <c r="H187" i="20"/>
  <c r="H171" i="20"/>
  <c r="H155" i="20"/>
  <c r="H307" i="20"/>
  <c r="I307" i="20" s="1"/>
  <c r="H291" i="20"/>
  <c r="I291" i="20" s="1"/>
  <c r="H276" i="20"/>
  <c r="I276" i="20" s="1"/>
  <c r="H260" i="20"/>
  <c r="I260" i="20" s="1"/>
  <c r="H244" i="20"/>
  <c r="I244" i="20" s="1"/>
  <c r="H228" i="20"/>
  <c r="I228" i="20" s="1"/>
  <c r="H339" i="20"/>
  <c r="I339" i="20" s="1"/>
  <c r="H180" i="20"/>
  <c r="H196" i="20"/>
  <c r="H212" i="20"/>
  <c r="H234" i="20"/>
  <c r="I234" i="20" s="1"/>
  <c r="H266" i="20"/>
  <c r="I266" i="20" s="1"/>
  <c r="H297" i="20"/>
  <c r="I297" i="20" s="1"/>
  <c r="H161" i="20"/>
  <c r="H193" i="20"/>
  <c r="H225" i="20"/>
  <c r="I225" i="20" s="1"/>
  <c r="H265" i="20"/>
  <c r="I265" i="20" s="1"/>
  <c r="H331" i="20"/>
  <c r="I331" i="20" s="1"/>
  <c r="H334" i="20"/>
  <c r="I334" i="20" s="1"/>
  <c r="H76" i="20"/>
  <c r="I76" i="20" s="1"/>
  <c r="H80" i="20"/>
  <c r="I80" i="20" s="1"/>
  <c r="H84" i="20"/>
  <c r="I84" i="20" s="1"/>
  <c r="H88" i="20"/>
  <c r="I88" i="20" s="1"/>
  <c r="H92" i="20"/>
  <c r="I92" i="20" s="1"/>
  <c r="H96" i="20"/>
  <c r="I96" i="20" s="1"/>
  <c r="H100" i="20"/>
  <c r="I100" i="20" s="1"/>
  <c r="H108" i="20"/>
  <c r="I108" i="20" s="1"/>
  <c r="D387" i="20"/>
  <c r="D375" i="20"/>
  <c r="D363" i="20"/>
  <c r="D351" i="20"/>
  <c r="D339" i="20"/>
  <c r="D327" i="20"/>
  <c r="D315" i="20"/>
  <c r="D303" i="20"/>
  <c r="D378" i="20"/>
  <c r="D354" i="20"/>
  <c r="D330" i="20"/>
  <c r="D306" i="20"/>
  <c r="D379" i="20"/>
  <c r="D355" i="20"/>
  <c r="D331" i="20"/>
  <c r="D307" i="20"/>
  <c r="D368" i="20"/>
  <c r="D344" i="20"/>
  <c r="D320" i="20"/>
  <c r="D381" i="20"/>
  <c r="D357" i="20"/>
  <c r="D333" i="20"/>
  <c r="D309" i="20"/>
  <c r="D296" i="20"/>
  <c r="D382" i="20"/>
  <c r="D358" i="20"/>
  <c r="D334" i="20"/>
  <c r="D310" i="20"/>
  <c r="D383" i="20"/>
  <c r="D359" i="20"/>
  <c r="D335" i="20"/>
  <c r="D311" i="20"/>
  <c r="D384" i="20"/>
  <c r="D360" i="20"/>
  <c r="D336" i="20"/>
  <c r="D312" i="20"/>
  <c r="D385" i="20"/>
  <c r="D361" i="20"/>
  <c r="D337" i="20"/>
  <c r="D313" i="20"/>
  <c r="D301" i="20"/>
  <c r="D302" i="20"/>
  <c r="D59" i="20"/>
  <c r="D61" i="20"/>
  <c r="D63" i="20"/>
  <c r="D65" i="20"/>
  <c r="D67" i="20"/>
  <c r="D68" i="20"/>
  <c r="D69" i="20"/>
  <c r="D71" i="20"/>
  <c r="D73" i="20"/>
  <c r="D75" i="20"/>
  <c r="D77" i="20"/>
  <c r="D79" i="20"/>
  <c r="D80" i="20"/>
  <c r="D81" i="20"/>
  <c r="D83" i="20"/>
  <c r="D85" i="20"/>
  <c r="D86" i="20"/>
  <c r="D87" i="20"/>
  <c r="D89" i="20"/>
  <c r="D91" i="20"/>
  <c r="D92" i="20"/>
  <c r="D93" i="20"/>
  <c r="D95" i="20"/>
  <c r="D97" i="20"/>
  <c r="D99" i="20"/>
  <c r="D101" i="20"/>
  <c r="D103" i="20"/>
  <c r="D104" i="20"/>
  <c r="D105" i="20"/>
  <c r="D107" i="20"/>
  <c r="D109" i="20"/>
  <c r="D111" i="20"/>
  <c r="D113" i="20"/>
  <c r="D115" i="20"/>
  <c r="D116" i="20"/>
  <c r="D117" i="20"/>
  <c r="D119" i="20"/>
  <c r="D121" i="20"/>
  <c r="D123" i="20"/>
  <c r="D125" i="20"/>
  <c r="D127" i="20"/>
  <c r="D128" i="20"/>
  <c r="D129" i="20"/>
  <c r="D388" i="20"/>
  <c r="D376" i="20"/>
  <c r="D364" i="20"/>
  <c r="D352" i="20"/>
  <c r="D340" i="20"/>
  <c r="D328" i="20"/>
  <c r="D316" i="20"/>
  <c r="D304" i="20"/>
  <c r="D291" i="20"/>
  <c r="D366" i="20"/>
  <c r="D342" i="20"/>
  <c r="D318" i="20"/>
  <c r="D293" i="20"/>
  <c r="D367" i="20"/>
  <c r="D343" i="20"/>
  <c r="D319" i="20"/>
  <c r="D294" i="20"/>
  <c r="D380" i="20"/>
  <c r="D356" i="20"/>
  <c r="D332" i="20"/>
  <c r="D308" i="20"/>
  <c r="D295" i="20"/>
  <c r="D369" i="20"/>
  <c r="D345" i="20"/>
  <c r="D321" i="20"/>
  <c r="D370" i="20"/>
  <c r="D346" i="20"/>
  <c r="D322" i="20"/>
  <c r="D297" i="20"/>
  <c r="D371" i="20"/>
  <c r="D347" i="20"/>
  <c r="D323" i="20"/>
  <c r="D298" i="20"/>
  <c r="D372" i="20"/>
  <c r="D348" i="20"/>
  <c r="D324" i="20"/>
  <c r="D299" i="20"/>
  <c r="D373" i="20"/>
  <c r="D349" i="20"/>
  <c r="D325" i="20"/>
  <c r="D300" i="20"/>
  <c r="D386" i="20"/>
  <c r="D374" i="20"/>
  <c r="D362" i="20"/>
  <c r="D350" i="20"/>
  <c r="D338" i="20"/>
  <c r="D326" i="20"/>
  <c r="D314" i="20"/>
  <c r="D58" i="20"/>
  <c r="D60" i="20"/>
  <c r="D62" i="20"/>
  <c r="D64" i="20"/>
  <c r="D66" i="20"/>
  <c r="D70" i="20"/>
  <c r="D72" i="20"/>
  <c r="D74" i="20"/>
  <c r="D76" i="20"/>
  <c r="D78" i="20"/>
  <c r="D82" i="20"/>
  <c r="D84" i="20"/>
  <c r="D88" i="20"/>
  <c r="D90" i="20"/>
  <c r="D94" i="20"/>
  <c r="D96" i="20"/>
  <c r="D98" i="20"/>
  <c r="D100" i="20"/>
  <c r="D102" i="20"/>
  <c r="D106" i="20"/>
  <c r="D108" i="20"/>
  <c r="D110" i="20"/>
  <c r="D112" i="20"/>
  <c r="D114" i="20"/>
  <c r="D118" i="20"/>
  <c r="D120" i="20"/>
  <c r="D122" i="20"/>
  <c r="D126" i="20"/>
  <c r="D131" i="20"/>
  <c r="D133" i="20"/>
  <c r="D135" i="20"/>
  <c r="D137" i="20"/>
  <c r="D139" i="20"/>
  <c r="D140" i="20"/>
  <c r="D142" i="20"/>
  <c r="D144" i="20"/>
  <c r="D146" i="20"/>
  <c r="D148" i="20"/>
  <c r="D149" i="20"/>
  <c r="D151" i="20"/>
  <c r="D152" i="20"/>
  <c r="D154" i="20"/>
  <c r="D156" i="20"/>
  <c r="D158" i="20"/>
  <c r="D160" i="20"/>
  <c r="D162" i="20"/>
  <c r="D166" i="20"/>
  <c r="D168" i="20"/>
  <c r="D170" i="20"/>
  <c r="D172" i="20"/>
  <c r="D174" i="20"/>
  <c r="D178" i="20"/>
  <c r="D180" i="20"/>
  <c r="D182" i="20"/>
  <c r="D184" i="20"/>
  <c r="D186" i="20"/>
  <c r="D188" i="20"/>
  <c r="D190" i="20"/>
  <c r="D192" i="20"/>
  <c r="D196" i="20"/>
  <c r="D198" i="20"/>
  <c r="D200" i="20"/>
  <c r="D202" i="20"/>
  <c r="D204" i="20"/>
  <c r="D208" i="20"/>
  <c r="D210" i="20"/>
  <c r="D212" i="20"/>
  <c r="D214" i="20"/>
  <c r="D216" i="20"/>
  <c r="D218" i="20"/>
  <c r="D220" i="20"/>
  <c r="D222" i="20"/>
  <c r="D226" i="20"/>
  <c r="D228" i="20"/>
  <c r="D230" i="20"/>
  <c r="D232" i="20"/>
  <c r="D234" i="20"/>
  <c r="D238" i="20"/>
  <c r="D240" i="20"/>
  <c r="D242" i="20"/>
  <c r="D244" i="20"/>
  <c r="D246" i="20"/>
  <c r="D250" i="20"/>
  <c r="D252" i="20"/>
  <c r="D256" i="20"/>
  <c r="D258" i="20"/>
  <c r="D259" i="20"/>
  <c r="D262" i="20"/>
  <c r="D263" i="20"/>
  <c r="D264" i="20"/>
  <c r="D265" i="20"/>
  <c r="D266" i="20"/>
  <c r="D268" i="20"/>
  <c r="D270" i="20"/>
  <c r="D271" i="20"/>
  <c r="D273" i="20"/>
  <c r="D274" i="20"/>
  <c r="D275" i="20"/>
  <c r="D276" i="20"/>
  <c r="D277" i="20"/>
  <c r="D278" i="20"/>
  <c r="D280" i="20"/>
  <c r="D284" i="20"/>
  <c r="D285" i="20"/>
  <c r="D287" i="20"/>
  <c r="D289" i="20"/>
  <c r="D392" i="20"/>
  <c r="D397" i="20"/>
  <c r="D398" i="20"/>
  <c r="D399" i="20"/>
  <c r="D400" i="20"/>
  <c r="D402" i="20"/>
  <c r="D403" i="20"/>
  <c r="D404" i="20"/>
  <c r="D405" i="20"/>
  <c r="D408" i="20"/>
  <c r="D411" i="20"/>
  <c r="D416" i="20"/>
  <c r="D417" i="20"/>
  <c r="D420" i="20"/>
  <c r="D421" i="20"/>
  <c r="D424" i="20"/>
  <c r="D124" i="20"/>
  <c r="D130" i="20"/>
  <c r="D132" i="20"/>
  <c r="D134" i="20"/>
  <c r="D136" i="20"/>
  <c r="D138" i="20"/>
  <c r="D141" i="20"/>
  <c r="D143" i="20"/>
  <c r="D145" i="20"/>
  <c r="D147" i="20"/>
  <c r="D150" i="20"/>
  <c r="D153" i="20"/>
  <c r="D155" i="20"/>
  <c r="D157" i="20"/>
  <c r="D159" i="20"/>
  <c r="D161" i="20"/>
  <c r="D163" i="20"/>
  <c r="D164" i="20"/>
  <c r="D165" i="20"/>
  <c r="D167" i="20"/>
  <c r="D169" i="20"/>
  <c r="D171" i="20"/>
  <c r="D173" i="20"/>
  <c r="D175" i="20"/>
  <c r="D176" i="20"/>
  <c r="D177" i="20"/>
  <c r="D179" i="20"/>
  <c r="D181" i="20"/>
  <c r="D183" i="20"/>
  <c r="D185" i="20"/>
  <c r="D187" i="20"/>
  <c r="D189" i="20"/>
  <c r="D191" i="20"/>
  <c r="D193" i="20"/>
  <c r="D194" i="20"/>
  <c r="D195" i="20"/>
  <c r="D197" i="20"/>
  <c r="D199" i="20"/>
  <c r="D201" i="20"/>
  <c r="D203" i="20"/>
  <c r="D205" i="20"/>
  <c r="D206" i="20"/>
  <c r="D207" i="20"/>
  <c r="D209" i="20"/>
  <c r="D211" i="20"/>
  <c r="D213" i="20"/>
  <c r="D215" i="20"/>
  <c r="D217" i="20"/>
  <c r="D219" i="20"/>
  <c r="D221" i="20"/>
  <c r="D223" i="20"/>
  <c r="D224" i="20"/>
  <c r="D225" i="20"/>
  <c r="D227" i="20"/>
  <c r="D229" i="20"/>
  <c r="D231" i="20"/>
  <c r="D233" i="20"/>
  <c r="D235" i="20"/>
  <c r="D236" i="20"/>
  <c r="D237" i="20"/>
  <c r="D239" i="20"/>
  <c r="D241" i="20"/>
  <c r="D243" i="20"/>
  <c r="D245" i="20"/>
  <c r="D247" i="20"/>
  <c r="D248" i="20"/>
  <c r="D249" i="20"/>
  <c r="D251" i="20"/>
  <c r="D253" i="20"/>
  <c r="D255" i="20"/>
  <c r="D254" i="20"/>
  <c r="D257" i="20"/>
  <c r="D260" i="20"/>
  <c r="D261" i="20"/>
  <c r="D267" i="20"/>
  <c r="D269" i="20"/>
  <c r="D272" i="20"/>
  <c r="D279" i="20"/>
  <c r="D281" i="20"/>
  <c r="D282" i="20"/>
  <c r="D283" i="20"/>
  <c r="D286" i="20"/>
  <c r="D288" i="20"/>
  <c r="D290" i="20"/>
  <c r="D391" i="20"/>
  <c r="D409" i="20"/>
  <c r="D410" i="20"/>
  <c r="D414" i="20"/>
  <c r="D415" i="20"/>
  <c r="D422" i="20"/>
  <c r="D425" i="20"/>
  <c r="D426" i="20"/>
  <c r="D430" i="20"/>
  <c r="D434" i="20"/>
  <c r="D435" i="20"/>
  <c r="D436" i="20"/>
  <c r="D438" i="20"/>
  <c r="D439" i="20"/>
  <c r="D440" i="20"/>
  <c r="D442" i="20"/>
  <c r="D444" i="20"/>
  <c r="D447" i="20"/>
  <c r="D449" i="20"/>
  <c r="D451" i="20"/>
  <c r="D452" i="20"/>
  <c r="D456" i="20"/>
  <c r="D472" i="20"/>
  <c r="D460" i="20"/>
  <c r="D461" i="20"/>
  <c r="D473" i="20"/>
  <c r="D462" i="20"/>
  <c r="D464" i="20"/>
  <c r="D476" i="20"/>
  <c r="D478" i="20"/>
  <c r="D467" i="20"/>
  <c r="D482" i="20"/>
  <c r="D393" i="20"/>
  <c r="D394" i="20"/>
  <c r="D395" i="20"/>
  <c r="D396" i="20"/>
  <c r="D401" i="20"/>
  <c r="D406" i="20"/>
  <c r="D407" i="20"/>
  <c r="D412" i="20"/>
  <c r="D413" i="20"/>
  <c r="D418" i="20"/>
  <c r="D419" i="20"/>
  <c r="D423" i="20"/>
  <c r="D427" i="20"/>
  <c r="D428" i="20"/>
  <c r="D429" i="20"/>
  <c r="D431" i="20"/>
  <c r="D432" i="20"/>
  <c r="D433" i="20"/>
  <c r="D437" i="20"/>
  <c r="D441" i="20"/>
  <c r="D443" i="20"/>
  <c r="D445" i="20"/>
  <c r="D446" i="20"/>
  <c r="D448" i="20"/>
  <c r="D450" i="20"/>
  <c r="D453" i="20"/>
  <c r="D454" i="20"/>
  <c r="D455" i="20"/>
  <c r="D457" i="20"/>
  <c r="D458" i="20"/>
  <c r="D459" i="20"/>
  <c r="D471" i="20"/>
  <c r="D474" i="20"/>
  <c r="D463" i="20"/>
  <c r="D475" i="20"/>
  <c r="D477" i="20"/>
  <c r="D466" i="20"/>
  <c r="D468" i="20"/>
  <c r="D480" i="20"/>
  <c r="D469" i="20"/>
  <c r="D465" i="20"/>
  <c r="D479" i="20"/>
  <c r="D481" i="20"/>
  <c r="D470" i="20"/>
  <c r="F315" i="20"/>
  <c r="G315" i="20" s="1"/>
  <c r="F339" i="20"/>
  <c r="G339" i="20" s="1"/>
  <c r="F363" i="20"/>
  <c r="G363" i="20" s="1"/>
  <c r="H359" i="20"/>
  <c r="I359" i="20" s="1"/>
  <c r="H326" i="20"/>
  <c r="I326" i="20" s="1"/>
  <c r="H375" i="20"/>
  <c r="H358" i="20"/>
  <c r="I358" i="20" s="1"/>
  <c r="H342" i="20"/>
  <c r="I342" i="20" s="1"/>
  <c r="H327" i="20"/>
  <c r="I327" i="20" s="1"/>
  <c r="H310" i="20"/>
  <c r="I310" i="20" s="1"/>
  <c r="H294" i="20"/>
  <c r="I294" i="20" s="1"/>
  <c r="H277" i="20"/>
  <c r="I277" i="20" s="1"/>
  <c r="H261" i="20"/>
  <c r="I261" i="20" s="1"/>
  <c r="H247" i="20"/>
  <c r="I247" i="20" s="1"/>
  <c r="H239" i="20"/>
  <c r="I239" i="20" s="1"/>
  <c r="H231" i="20"/>
  <c r="I231" i="20" s="1"/>
  <c r="H223" i="20"/>
  <c r="I223" i="20" s="1"/>
  <c r="H215" i="20"/>
  <c r="I215" i="20" s="1"/>
  <c r="H207" i="20"/>
  <c r="H199" i="20"/>
  <c r="H191" i="20"/>
  <c r="H183" i="20"/>
  <c r="H175" i="20"/>
  <c r="H167" i="20"/>
  <c r="H159" i="20"/>
  <c r="H151" i="20"/>
  <c r="H143" i="20"/>
  <c r="H303" i="20"/>
  <c r="I303" i="20" s="1"/>
  <c r="H295" i="20"/>
  <c r="I295" i="20" s="1"/>
  <c r="H288" i="20"/>
  <c r="I288" i="20" s="1"/>
  <c r="H280" i="20"/>
  <c r="I280" i="20" s="1"/>
  <c r="H272" i="20"/>
  <c r="I272" i="20" s="1"/>
  <c r="H264" i="20"/>
  <c r="I264" i="20" s="1"/>
  <c r="H256" i="20"/>
  <c r="I256" i="20" s="1"/>
  <c r="H248" i="20"/>
  <c r="I248" i="20" s="1"/>
  <c r="H240" i="20"/>
  <c r="I240" i="20" s="1"/>
  <c r="H232" i="20"/>
  <c r="I232" i="20" s="1"/>
  <c r="H224" i="20"/>
  <c r="I224" i="20" s="1"/>
  <c r="H371" i="20"/>
  <c r="I371" i="20" s="1"/>
  <c r="H168" i="20"/>
  <c r="H176" i="20"/>
  <c r="H184" i="20"/>
  <c r="H192" i="20"/>
  <c r="H200" i="20"/>
  <c r="H208" i="20"/>
  <c r="H216" i="20"/>
  <c r="I216" i="20" s="1"/>
  <c r="H226" i="20"/>
  <c r="I226" i="20" s="1"/>
  <c r="H242" i="20"/>
  <c r="I242" i="20" s="1"/>
  <c r="H258" i="20"/>
  <c r="I258" i="20" s="1"/>
  <c r="H274" i="20"/>
  <c r="I274" i="20" s="1"/>
  <c r="H290" i="20"/>
  <c r="I290" i="20" s="1"/>
  <c r="H305" i="20"/>
  <c r="I305" i="20" s="1"/>
  <c r="H153" i="20"/>
  <c r="H169" i="20"/>
  <c r="H185" i="20"/>
  <c r="H201" i="20"/>
  <c r="H217" i="20"/>
  <c r="I217" i="20" s="1"/>
  <c r="H233" i="20"/>
  <c r="I233" i="20" s="1"/>
  <c r="H249" i="20"/>
  <c r="I249" i="20" s="1"/>
  <c r="H281" i="20"/>
  <c r="I281" i="20" s="1"/>
  <c r="H314" i="20"/>
  <c r="I314" i="20" s="1"/>
  <c r="H346" i="20"/>
  <c r="I346" i="20" s="1"/>
  <c r="H380" i="20"/>
  <c r="I380" i="20" s="1"/>
  <c r="H366" i="20"/>
  <c r="I366" i="20" s="1"/>
  <c r="H75" i="20"/>
  <c r="I75" i="20" s="1"/>
  <c r="H77" i="20"/>
  <c r="I77" i="20" s="1"/>
  <c r="H79" i="20"/>
  <c r="I79" i="20" s="1"/>
  <c r="H81" i="20"/>
  <c r="I81" i="20" s="1"/>
  <c r="H83" i="20"/>
  <c r="I83" i="20" s="1"/>
  <c r="H85" i="20"/>
  <c r="I85" i="20" s="1"/>
  <c r="H87" i="20"/>
  <c r="I87" i="20" s="1"/>
  <c r="H89" i="20"/>
  <c r="I89" i="20" s="1"/>
  <c r="H91" i="20"/>
  <c r="I91" i="20" s="1"/>
  <c r="H93" i="20"/>
  <c r="I93" i="20" s="1"/>
  <c r="H95" i="20"/>
  <c r="I95" i="20" s="1"/>
  <c r="H97" i="20"/>
  <c r="I97" i="20" s="1"/>
  <c r="H99" i="20"/>
  <c r="I99" i="20" s="1"/>
  <c r="H102" i="20"/>
  <c r="I102" i="20" s="1"/>
  <c r="H106" i="20"/>
  <c r="I106" i="20" s="1"/>
  <c r="H383" i="20"/>
  <c r="I383" i="20" s="1"/>
  <c r="H354" i="20"/>
  <c r="I354" i="20" s="1"/>
  <c r="H306" i="20"/>
  <c r="I306" i="20" s="1"/>
  <c r="H273" i="20"/>
  <c r="I273" i="20" s="1"/>
  <c r="H245" i="20"/>
  <c r="I245" i="20" s="1"/>
  <c r="H229" i="20"/>
  <c r="I229" i="20" s="1"/>
  <c r="H213" i="20"/>
  <c r="I213" i="20" s="1"/>
  <c r="H197" i="20"/>
  <c r="H181" i="20"/>
  <c r="H165" i="20"/>
  <c r="H149" i="20"/>
  <c r="H301" i="20"/>
  <c r="I301" i="20" s="1"/>
  <c r="H286" i="20"/>
  <c r="I286" i="20" s="1"/>
  <c r="H270" i="20"/>
  <c r="I270" i="20" s="1"/>
  <c r="H254" i="20"/>
  <c r="I254" i="20" s="1"/>
  <c r="H238" i="20"/>
  <c r="I238" i="20" s="1"/>
  <c r="H222" i="20"/>
  <c r="I222" i="20" s="1"/>
  <c r="H214" i="20"/>
  <c r="I214" i="20" s="1"/>
  <c r="H206" i="20"/>
  <c r="H198" i="20"/>
  <c r="H190" i="20"/>
  <c r="H182" i="20"/>
  <c r="H174" i="20"/>
  <c r="H166" i="20"/>
  <c r="H162" i="20"/>
  <c r="H158" i="20"/>
  <c r="H154" i="20"/>
  <c r="H150" i="20"/>
  <c r="H146" i="20"/>
  <c r="H142" i="20"/>
  <c r="H138" i="20"/>
  <c r="H134" i="20"/>
  <c r="I134" i="20" s="1"/>
  <c r="H130" i="20"/>
  <c r="I130" i="20" s="1"/>
  <c r="H126" i="20"/>
  <c r="I126" i="20" s="1"/>
  <c r="H122" i="20"/>
  <c r="I122" i="20" s="1"/>
  <c r="H118" i="20"/>
  <c r="I118" i="20" s="1"/>
  <c r="H114" i="20"/>
  <c r="I114" i="20" s="1"/>
  <c r="H110" i="20"/>
  <c r="I110" i="20" s="1"/>
  <c r="H139" i="20"/>
  <c r="H135" i="20"/>
  <c r="H131" i="20"/>
  <c r="I131" i="20" s="1"/>
  <c r="H127" i="20"/>
  <c r="I127" i="20" s="1"/>
  <c r="H123" i="20"/>
  <c r="I123" i="20" s="1"/>
  <c r="H119" i="20"/>
  <c r="I119" i="20" s="1"/>
  <c r="H115" i="20"/>
  <c r="I115" i="20" s="1"/>
  <c r="H111" i="20"/>
  <c r="I111" i="20" s="1"/>
  <c r="H390" i="20"/>
  <c r="I390" i="20" s="1"/>
  <c r="H318" i="20"/>
  <c r="I318" i="20" s="1"/>
  <c r="H323" i="20"/>
  <c r="I323" i="20" s="1"/>
  <c r="H289" i="20"/>
  <c r="I289" i="20" s="1"/>
  <c r="H257" i="20"/>
  <c r="I257" i="20" s="1"/>
  <c r="H237" i="20"/>
  <c r="I237" i="20" s="1"/>
  <c r="H221" i="20"/>
  <c r="I221" i="20" s="1"/>
  <c r="H205" i="20"/>
  <c r="H189" i="20"/>
  <c r="H173" i="20"/>
  <c r="H157" i="20"/>
  <c r="H309" i="20"/>
  <c r="I309" i="20" s="1"/>
  <c r="H293" i="20"/>
  <c r="I293" i="20" s="1"/>
  <c r="H278" i="20"/>
  <c r="I278" i="20" s="1"/>
  <c r="H262" i="20"/>
  <c r="I262" i="20" s="1"/>
  <c r="H246" i="20"/>
  <c r="I246" i="20" s="1"/>
  <c r="H230" i="20"/>
  <c r="I230" i="20" s="1"/>
  <c r="H218" i="20"/>
  <c r="I218" i="20" s="1"/>
  <c r="H210" i="20"/>
  <c r="H202" i="20"/>
  <c r="H194" i="20"/>
  <c r="H186" i="20"/>
  <c r="H178" i="20"/>
  <c r="H170" i="20"/>
  <c r="H164" i="20"/>
  <c r="H160" i="20"/>
  <c r="H156" i="20"/>
  <c r="H152" i="20"/>
  <c r="H148" i="20"/>
  <c r="H144" i="20"/>
  <c r="H140" i="20"/>
  <c r="H136" i="20"/>
  <c r="H132" i="20"/>
  <c r="I132" i="20" s="1"/>
  <c r="H128" i="20"/>
  <c r="I128" i="20" s="1"/>
  <c r="H124" i="20"/>
  <c r="I124" i="20" s="1"/>
  <c r="H120" i="20"/>
  <c r="I120" i="20" s="1"/>
  <c r="H116" i="20"/>
  <c r="I116" i="20" s="1"/>
  <c r="H112" i="20"/>
  <c r="I112" i="20" s="1"/>
  <c r="H141" i="20"/>
  <c r="H137" i="20"/>
  <c r="H133" i="20"/>
  <c r="I133" i="20" s="1"/>
  <c r="H129" i="20"/>
  <c r="I129" i="20" s="1"/>
  <c r="H125" i="20"/>
  <c r="I125" i="20" s="1"/>
  <c r="H121" i="20"/>
  <c r="I121" i="20" s="1"/>
  <c r="H117" i="20"/>
  <c r="I117" i="20" s="1"/>
  <c r="H113" i="20"/>
  <c r="I113" i="20" s="1"/>
  <c r="H389" i="20"/>
  <c r="I389" i="20" s="1"/>
  <c r="H251" i="20"/>
  <c r="I251" i="20" s="1"/>
  <c r="H259" i="20"/>
  <c r="I259" i="20" s="1"/>
  <c r="H267" i="20"/>
  <c r="I267" i="20" s="1"/>
  <c r="H275" i="20"/>
  <c r="I275" i="20" s="1"/>
  <c r="H283" i="20"/>
  <c r="I283" i="20" s="1"/>
  <c r="H292" i="20"/>
  <c r="I292" i="20" s="1"/>
  <c r="H300" i="20"/>
  <c r="I300" i="20" s="1"/>
  <c r="H308" i="20"/>
  <c r="I308" i="20" s="1"/>
  <c r="H317" i="20"/>
  <c r="I317" i="20" s="1"/>
  <c r="H325" i="20"/>
  <c r="I325" i="20" s="1"/>
  <c r="H333" i="20"/>
  <c r="I333" i="20" s="1"/>
  <c r="H340" i="20"/>
  <c r="I340" i="20" s="1"/>
  <c r="H348" i="20"/>
  <c r="I348" i="20" s="1"/>
  <c r="H356" i="20"/>
  <c r="I356" i="20" s="1"/>
  <c r="H365" i="20"/>
  <c r="I365" i="20" s="1"/>
  <c r="H373" i="20"/>
  <c r="I373" i="20" s="1"/>
  <c r="H384" i="20"/>
  <c r="I384" i="20" s="1"/>
  <c r="H322" i="20"/>
  <c r="I322" i="20" s="1"/>
  <c r="H338" i="20"/>
  <c r="I338" i="20" s="1"/>
  <c r="H355" i="20"/>
  <c r="I355" i="20" s="1"/>
  <c r="H370" i="20"/>
  <c r="I370" i="20" s="1"/>
  <c r="H388" i="20"/>
  <c r="I388" i="20" s="1"/>
  <c r="H381" i="20"/>
  <c r="I381" i="20" s="1"/>
  <c r="H372" i="20"/>
  <c r="I372" i="20" s="1"/>
  <c r="H364" i="20"/>
  <c r="I364" i="20" s="1"/>
  <c r="H357" i="20"/>
  <c r="I357" i="20" s="1"/>
  <c r="H349" i="20"/>
  <c r="I349" i="20" s="1"/>
  <c r="H341" i="20"/>
  <c r="I341" i="20" s="1"/>
  <c r="H332" i="20"/>
  <c r="I332" i="20" s="1"/>
  <c r="H324" i="20"/>
  <c r="I324" i="20" s="1"/>
  <c r="H316" i="20"/>
  <c r="I316" i="20" s="1"/>
  <c r="H386" i="20"/>
  <c r="I386" i="20" s="1"/>
  <c r="H378" i="20"/>
  <c r="I378" i="20" s="1"/>
  <c r="H392" i="20"/>
  <c r="I392" i="20" s="1"/>
  <c r="H395" i="20"/>
  <c r="I395" i="20" s="1"/>
  <c r="H397" i="20"/>
  <c r="I397" i="20" s="1"/>
  <c r="H400" i="20"/>
  <c r="I400" i="20" s="1"/>
  <c r="H402" i="20"/>
  <c r="I402" i="20" s="1"/>
  <c r="H407" i="20"/>
  <c r="I407" i="20" s="1"/>
  <c r="H408" i="20"/>
  <c r="I408" i="20" s="1"/>
  <c r="H409" i="20"/>
  <c r="I409" i="20" s="1"/>
  <c r="H410" i="20"/>
  <c r="I410" i="20" s="1"/>
  <c r="H415" i="20"/>
  <c r="I415" i="20" s="1"/>
  <c r="H416" i="20"/>
  <c r="I416" i="20" s="1"/>
  <c r="H417" i="20"/>
  <c r="I417" i="20" s="1"/>
  <c r="H418" i="20"/>
  <c r="I418" i="20" s="1"/>
  <c r="H419" i="20"/>
  <c r="I419" i="20" s="1"/>
  <c r="H423" i="20"/>
  <c r="I423" i="20" s="1"/>
  <c r="H424" i="20"/>
  <c r="I424" i="20" s="1"/>
  <c r="H425" i="20"/>
  <c r="I425" i="20" s="1"/>
  <c r="H429" i="20"/>
  <c r="I429" i="20" s="1"/>
  <c r="H431" i="20"/>
  <c r="I431" i="20" s="1"/>
  <c r="H433" i="20"/>
  <c r="I433" i="20" s="1"/>
  <c r="H437" i="20"/>
  <c r="I437" i="20" s="1"/>
  <c r="H439" i="20"/>
  <c r="I439" i="20" s="1"/>
  <c r="H445" i="20"/>
  <c r="I445" i="20" s="1"/>
  <c r="H447" i="20"/>
  <c r="I447" i="20" s="1"/>
  <c r="H448" i="20"/>
  <c r="I448" i="20" s="1"/>
  <c r="H450" i="20"/>
  <c r="I450" i="20" s="1"/>
  <c r="H451" i="20"/>
  <c r="I451" i="20" s="1"/>
  <c r="H455" i="20"/>
  <c r="I455" i="20" s="1"/>
  <c r="H456" i="20"/>
  <c r="I456" i="20" s="1"/>
  <c r="H457" i="20"/>
  <c r="I457" i="20" s="1"/>
  <c r="H458" i="20"/>
  <c r="I458" i="20" s="1"/>
  <c r="H459" i="20"/>
  <c r="I459" i="20" s="1"/>
  <c r="H474" i="20"/>
  <c r="I474" i="20" s="1"/>
  <c r="H463" i="20"/>
  <c r="I463" i="20" s="1"/>
  <c r="H477" i="20"/>
  <c r="I477" i="20" s="1"/>
  <c r="H466" i="20"/>
  <c r="I466" i="20" s="1"/>
  <c r="H479" i="20"/>
  <c r="I479" i="20" s="1"/>
  <c r="H468" i="20"/>
  <c r="I468" i="20" s="1"/>
  <c r="H469" i="20"/>
  <c r="I469" i="20" s="1"/>
  <c r="H482" i="20"/>
  <c r="I482" i="20" s="1"/>
  <c r="H396" i="20"/>
  <c r="I396" i="20" s="1"/>
  <c r="H401" i="20"/>
  <c r="I401" i="20" s="1"/>
  <c r="H404" i="20"/>
  <c r="I404" i="20" s="1"/>
  <c r="H406" i="20"/>
  <c r="I406" i="20" s="1"/>
  <c r="H411" i="20"/>
  <c r="I411" i="20" s="1"/>
  <c r="H412" i="20"/>
  <c r="I412" i="20" s="1"/>
  <c r="H413" i="20"/>
  <c r="I413" i="20" s="1"/>
  <c r="H420" i="20"/>
  <c r="I420" i="20" s="1"/>
  <c r="H422" i="20"/>
  <c r="I422" i="20" s="1"/>
  <c r="H428" i="20"/>
  <c r="I428" i="20" s="1"/>
  <c r="H430" i="20"/>
  <c r="I430" i="20" s="1"/>
  <c r="H434" i="20"/>
  <c r="I434" i="20" s="1"/>
  <c r="H435" i="20"/>
  <c r="I435" i="20" s="1"/>
  <c r="H440" i="20"/>
  <c r="I440" i="20" s="1"/>
  <c r="H442" i="20"/>
  <c r="I442" i="20" s="1"/>
  <c r="H444" i="20"/>
  <c r="I444" i="20" s="1"/>
  <c r="H449" i="20"/>
  <c r="I449" i="20" s="1"/>
  <c r="H452" i="20"/>
  <c r="I452" i="20" s="1"/>
  <c r="H460" i="20"/>
  <c r="I460" i="20" s="1"/>
  <c r="H461" i="20"/>
  <c r="I461" i="20" s="1"/>
  <c r="H473" i="20"/>
  <c r="I473" i="20" s="1"/>
  <c r="H462" i="20"/>
  <c r="I462" i="20" s="1"/>
  <c r="H464" i="20"/>
  <c r="I464" i="20" s="1"/>
  <c r="H476" i="20"/>
  <c r="I476" i="20" s="1"/>
  <c r="H478" i="20"/>
  <c r="I478" i="20" s="1"/>
  <c r="H467" i="20"/>
  <c r="I467" i="20" s="1"/>
  <c r="H480" i="20"/>
  <c r="I480" i="20" s="1"/>
  <c r="H481" i="20"/>
  <c r="I481" i="20" s="1"/>
  <c r="H470" i="20"/>
  <c r="I470" i="20" s="1"/>
  <c r="H255" i="20"/>
  <c r="I255" i="20" s="1"/>
  <c r="H263" i="20"/>
  <c r="I263" i="20" s="1"/>
  <c r="H271" i="20"/>
  <c r="I271" i="20" s="1"/>
  <c r="H279" i="20"/>
  <c r="I279" i="20" s="1"/>
  <c r="H287" i="20"/>
  <c r="I287" i="20" s="1"/>
  <c r="H296" i="20"/>
  <c r="I296" i="20" s="1"/>
  <c r="H304" i="20"/>
  <c r="I304" i="20" s="1"/>
  <c r="H312" i="20"/>
  <c r="I312" i="20" s="1"/>
  <c r="H321" i="20"/>
  <c r="I321" i="20" s="1"/>
  <c r="H329" i="20"/>
  <c r="I329" i="20" s="1"/>
  <c r="H337" i="20"/>
  <c r="I337" i="20" s="1"/>
  <c r="H344" i="20"/>
  <c r="I344" i="20" s="1"/>
  <c r="H352" i="20"/>
  <c r="I352" i="20" s="1"/>
  <c r="H360" i="20"/>
  <c r="I360" i="20" s="1"/>
  <c r="H369" i="20"/>
  <c r="I369" i="20" s="1"/>
  <c r="H376" i="20"/>
  <c r="I376" i="20" s="1"/>
  <c r="H315" i="20"/>
  <c r="H330" i="20"/>
  <c r="I330" i="20" s="1"/>
  <c r="H347" i="20"/>
  <c r="I347" i="20" s="1"/>
  <c r="H363" i="20"/>
  <c r="H379" i="20"/>
  <c r="I379" i="20" s="1"/>
  <c r="H385" i="20"/>
  <c r="I385" i="20" s="1"/>
  <c r="H377" i="20"/>
  <c r="I377" i="20" s="1"/>
  <c r="H368" i="20"/>
  <c r="I368" i="20" s="1"/>
  <c r="H361" i="20"/>
  <c r="I361" i="20" s="1"/>
  <c r="H353" i="20"/>
  <c r="I353" i="20" s="1"/>
  <c r="H345" i="20"/>
  <c r="I345" i="20" s="1"/>
  <c r="H336" i="20"/>
  <c r="I336" i="20" s="1"/>
  <c r="H328" i="20"/>
  <c r="I328" i="20" s="1"/>
  <c r="H320" i="20"/>
  <c r="I320" i="20" s="1"/>
  <c r="H313" i="20"/>
  <c r="I313" i="20" s="1"/>
  <c r="H382" i="20"/>
  <c r="I382" i="20" s="1"/>
  <c r="H391" i="20"/>
  <c r="I391" i="20" s="1"/>
  <c r="H393" i="20"/>
  <c r="I393" i="20" s="1"/>
  <c r="H394" i="20"/>
  <c r="I394" i="20" s="1"/>
  <c r="H398" i="20"/>
  <c r="I398" i="20" s="1"/>
  <c r="H399" i="20"/>
  <c r="I399" i="20" s="1"/>
  <c r="H403" i="20"/>
  <c r="I403" i="20" s="1"/>
  <c r="H405" i="20"/>
  <c r="I405" i="20" s="1"/>
  <c r="H414" i="20"/>
  <c r="I414" i="20" s="1"/>
  <c r="H421" i="20"/>
  <c r="I421" i="20" s="1"/>
  <c r="H426" i="20"/>
  <c r="I426" i="20" s="1"/>
  <c r="H427" i="20"/>
  <c r="I427" i="20" s="1"/>
  <c r="H432" i="20"/>
  <c r="I432" i="20" s="1"/>
  <c r="H436" i="20"/>
  <c r="I436" i="20" s="1"/>
  <c r="H438" i="20"/>
  <c r="I438" i="20" s="1"/>
  <c r="H441" i="20"/>
  <c r="I441" i="20" s="1"/>
  <c r="H443" i="20"/>
  <c r="I443" i="20" s="1"/>
  <c r="H446" i="20"/>
  <c r="I446" i="20" s="1"/>
  <c r="H453" i="20"/>
  <c r="I453" i="20" s="1"/>
  <c r="H454" i="20"/>
  <c r="I454" i="20" s="1"/>
  <c r="H471" i="20"/>
  <c r="I471" i="20" s="1"/>
  <c r="H472" i="20"/>
  <c r="I472" i="20" s="1"/>
  <c r="H475" i="20"/>
  <c r="I475" i="20" s="1"/>
  <c r="H465" i="20"/>
  <c r="I465" i="20" s="1"/>
  <c r="F303" i="20"/>
  <c r="F304" i="20"/>
  <c r="F328" i="20"/>
  <c r="G328" i="20" s="1"/>
  <c r="F352" i="20"/>
  <c r="G352" i="20" s="1"/>
  <c r="F376" i="20"/>
  <c r="G376" i="20" s="1"/>
  <c r="F389" i="20"/>
  <c r="G389" i="20" s="1"/>
  <c r="F365" i="20"/>
  <c r="G365" i="20" s="1"/>
  <c r="F341" i="20"/>
  <c r="G341" i="20" s="1"/>
  <c r="F317" i="20"/>
  <c r="G317" i="20" s="1"/>
  <c r="F292" i="20"/>
  <c r="G292" i="20" s="1"/>
  <c r="F378" i="20"/>
  <c r="G378" i="20" s="1"/>
  <c r="F366" i="20"/>
  <c r="G366" i="20" s="1"/>
  <c r="F354" i="20"/>
  <c r="G354" i="20" s="1"/>
  <c r="F342" i="20"/>
  <c r="G342" i="20" s="1"/>
  <c r="F330" i="20"/>
  <c r="G330" i="20" s="1"/>
  <c r="F318" i="20"/>
  <c r="G318" i="20" s="1"/>
  <c r="F306" i="20"/>
  <c r="G306" i="20" s="1"/>
  <c r="F293" i="20"/>
  <c r="G293" i="20" s="1"/>
  <c r="F379" i="20"/>
  <c r="G379" i="20" s="1"/>
  <c r="F367" i="20"/>
  <c r="F355" i="20"/>
  <c r="F343" i="20"/>
  <c r="G343" i="20" s="1"/>
  <c r="F331" i="20"/>
  <c r="G331" i="20" s="1"/>
  <c r="F319" i="20"/>
  <c r="G319" i="20" s="1"/>
  <c r="F307" i="20"/>
  <c r="F294" i="20"/>
  <c r="G294" i="20" s="1"/>
  <c r="F295" i="20"/>
  <c r="G295" i="20" s="1"/>
  <c r="F381" i="20"/>
  <c r="G381" i="20" s="1"/>
  <c r="F369" i="20"/>
  <c r="G369" i="20" s="1"/>
  <c r="F357" i="20"/>
  <c r="G357" i="20" s="1"/>
  <c r="F345" i="20"/>
  <c r="F333" i="20"/>
  <c r="G333" i="20" s="1"/>
  <c r="F321" i="20"/>
  <c r="G321" i="20" s="1"/>
  <c r="F309" i="20"/>
  <c r="F382" i="20"/>
  <c r="G382" i="20" s="1"/>
  <c r="F370" i="20"/>
  <c r="F358" i="20"/>
  <c r="G358" i="20" s="1"/>
  <c r="F346" i="20"/>
  <c r="G346" i="20" s="1"/>
  <c r="F334" i="20"/>
  <c r="G334" i="20" s="1"/>
  <c r="F322" i="20"/>
  <c r="G322" i="20" s="1"/>
  <c r="F310" i="20"/>
  <c r="F297" i="20"/>
  <c r="G297" i="20" s="1"/>
  <c r="F383" i="20"/>
  <c r="G383" i="20" s="1"/>
  <c r="F371" i="20"/>
  <c r="G371" i="20" s="1"/>
  <c r="F359" i="20"/>
  <c r="G359" i="20" s="1"/>
  <c r="F347" i="20"/>
  <c r="G347" i="20" s="1"/>
  <c r="F335" i="20"/>
  <c r="G335" i="20" s="1"/>
  <c r="F323" i="20"/>
  <c r="G323" i="20" s="1"/>
  <c r="F311" i="20"/>
  <c r="F298" i="20"/>
  <c r="G298" i="20" s="1"/>
  <c r="F384" i="20"/>
  <c r="G384" i="20" s="1"/>
  <c r="F372" i="20"/>
  <c r="G372" i="20" s="1"/>
  <c r="F360" i="20"/>
  <c r="F348" i="20"/>
  <c r="G348" i="20" s="1"/>
  <c r="F336" i="20"/>
  <c r="G336" i="20" s="1"/>
  <c r="F324" i="20"/>
  <c r="G324" i="20" s="1"/>
  <c r="F312" i="20"/>
  <c r="F299" i="20"/>
  <c r="G299" i="20" s="1"/>
  <c r="F385" i="20"/>
  <c r="G385" i="20" s="1"/>
  <c r="F373" i="20"/>
  <c r="G373" i="20" s="1"/>
  <c r="F361" i="20"/>
  <c r="G361" i="20" s="1"/>
  <c r="F349" i="20"/>
  <c r="G349" i="20" s="1"/>
  <c r="F337" i="20"/>
  <c r="G337" i="20" s="1"/>
  <c r="F325" i="20"/>
  <c r="G325" i="20" s="1"/>
  <c r="F313" i="20"/>
  <c r="G313" i="20" s="1"/>
  <c r="F300" i="20"/>
  <c r="G300" i="20" s="1"/>
  <c r="F374" i="20"/>
  <c r="F350" i="20"/>
  <c r="G350" i="20" s="1"/>
  <c r="F326" i="20"/>
  <c r="G326" i="20" s="1"/>
  <c r="F302" i="20"/>
  <c r="G302" i="20" s="1"/>
  <c r="F316" i="20"/>
  <c r="G316" i="20" s="1"/>
  <c r="F340" i="20"/>
  <c r="G340" i="20" s="1"/>
  <c r="F364" i="20"/>
  <c r="F388" i="20"/>
  <c r="G388" i="20" s="1"/>
  <c r="F377" i="20"/>
  <c r="F353" i="20"/>
  <c r="G353" i="20" s="1"/>
  <c r="F329" i="20"/>
  <c r="F305" i="20"/>
  <c r="G305" i="20" s="1"/>
  <c r="F380" i="20"/>
  <c r="F368" i="20"/>
  <c r="G368" i="20" s="1"/>
  <c r="F356" i="20"/>
  <c r="F344" i="20"/>
  <c r="G344" i="20" s="1"/>
  <c r="F332" i="20"/>
  <c r="G332" i="20" s="1"/>
  <c r="F320" i="20"/>
  <c r="G320" i="20" s="1"/>
  <c r="F308" i="20"/>
  <c r="F296" i="20"/>
  <c r="G296" i="20" s="1"/>
  <c r="F386" i="20"/>
  <c r="G386" i="20" s="1"/>
  <c r="F362" i="20"/>
  <c r="G362" i="20" s="1"/>
  <c r="F338" i="20"/>
  <c r="G338" i="20" s="1"/>
  <c r="F314" i="20"/>
  <c r="F301" i="20"/>
  <c r="G301" i="20" s="1"/>
  <c r="F56" i="20"/>
  <c r="G56" i="20" s="1"/>
  <c r="F68" i="20"/>
  <c r="F80" i="20"/>
  <c r="F83" i="20"/>
  <c r="F85" i="20"/>
  <c r="F86" i="20"/>
  <c r="F92" i="20"/>
  <c r="F104" i="20"/>
  <c r="F116" i="20"/>
  <c r="F128" i="20"/>
  <c r="F140" i="20"/>
  <c r="F141" i="20"/>
  <c r="F142" i="20"/>
  <c r="F143" i="20"/>
  <c r="F144" i="20"/>
  <c r="F145" i="20"/>
  <c r="F147" i="20"/>
  <c r="F148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5" i="20"/>
  <c r="F166" i="20"/>
  <c r="F167" i="20"/>
  <c r="F168" i="20"/>
  <c r="F169" i="20"/>
  <c r="F170" i="20"/>
  <c r="F171" i="20"/>
  <c r="F172" i="20"/>
  <c r="F173" i="20"/>
  <c r="F174" i="20"/>
  <c r="F175" i="20"/>
  <c r="F177" i="20"/>
  <c r="F178" i="20"/>
  <c r="F179" i="20"/>
  <c r="F180" i="20"/>
  <c r="F181" i="20"/>
  <c r="F182" i="20"/>
  <c r="F183" i="20"/>
  <c r="F184" i="20"/>
  <c r="F185" i="20"/>
  <c r="F186" i="20"/>
  <c r="F187" i="20"/>
  <c r="F189" i="20"/>
  <c r="F190" i="20"/>
  <c r="F191" i="20"/>
  <c r="F192" i="20"/>
  <c r="F193" i="20"/>
  <c r="F195" i="20"/>
  <c r="F196" i="20"/>
  <c r="F197" i="20"/>
  <c r="F198" i="20"/>
  <c r="F199" i="20"/>
  <c r="F200" i="20"/>
  <c r="F201" i="20"/>
  <c r="F202" i="20"/>
  <c r="F203" i="20"/>
  <c r="F204" i="20"/>
  <c r="F205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5" i="20"/>
  <c r="F227" i="20"/>
  <c r="F229" i="20"/>
  <c r="F231" i="20"/>
  <c r="F232" i="20"/>
  <c r="F233" i="20"/>
  <c r="F234" i="20"/>
  <c r="F235" i="20"/>
  <c r="F237" i="20"/>
  <c r="F238" i="20"/>
  <c r="F239" i="20"/>
  <c r="F240" i="20"/>
  <c r="G240" i="20" s="1"/>
  <c r="F241" i="20"/>
  <c r="G241" i="20" s="1"/>
  <c r="F242" i="20"/>
  <c r="G242" i="20" s="1"/>
  <c r="F243" i="20"/>
  <c r="G243" i="20" s="1"/>
  <c r="F244" i="20"/>
  <c r="G244" i="20" s="1"/>
  <c r="F245" i="20"/>
  <c r="G245" i="20" s="1"/>
  <c r="F54" i="20"/>
  <c r="G54" i="20" s="1"/>
  <c r="F55" i="20"/>
  <c r="G55" i="20" s="1"/>
  <c r="F69" i="20"/>
  <c r="F70" i="20"/>
  <c r="F71" i="20"/>
  <c r="F72" i="20"/>
  <c r="F73" i="20"/>
  <c r="F74" i="20"/>
  <c r="F75" i="20"/>
  <c r="F76" i="20"/>
  <c r="F77" i="20"/>
  <c r="F78" i="20"/>
  <c r="F79" i="20"/>
  <c r="F84" i="20"/>
  <c r="F87" i="20"/>
  <c r="F88" i="20"/>
  <c r="F89" i="20"/>
  <c r="F90" i="20"/>
  <c r="F91" i="20"/>
  <c r="F105" i="20"/>
  <c r="F106" i="20"/>
  <c r="F107" i="20"/>
  <c r="F108" i="20"/>
  <c r="F109" i="20"/>
  <c r="F110" i="20"/>
  <c r="F111" i="20"/>
  <c r="F112" i="20"/>
  <c r="F113" i="20"/>
  <c r="F114" i="20"/>
  <c r="F115" i="20"/>
  <c r="F129" i="20"/>
  <c r="F130" i="20"/>
  <c r="F131" i="20"/>
  <c r="F132" i="20"/>
  <c r="F133" i="20"/>
  <c r="F134" i="20"/>
  <c r="F135" i="20"/>
  <c r="F136" i="20"/>
  <c r="F137" i="20"/>
  <c r="F138" i="20"/>
  <c r="F139" i="20"/>
  <c r="F146" i="20"/>
  <c r="F149" i="20"/>
  <c r="F150" i="20"/>
  <c r="F151" i="20"/>
  <c r="F164" i="20"/>
  <c r="F188" i="20"/>
  <c r="F206" i="20"/>
  <c r="F226" i="20"/>
  <c r="F230" i="20"/>
  <c r="F248" i="20"/>
  <c r="F255" i="20"/>
  <c r="G255" i="20" s="1"/>
  <c r="F257" i="20"/>
  <c r="G257" i="20" s="1"/>
  <c r="F259" i="20"/>
  <c r="F262" i="20"/>
  <c r="G262" i="20" s="1"/>
  <c r="F264" i="20"/>
  <c r="G264" i="20" s="1"/>
  <c r="F266" i="20"/>
  <c r="F269" i="20"/>
  <c r="G269" i="20" s="1"/>
  <c r="F271" i="20"/>
  <c r="G271" i="20" s="1"/>
  <c r="F274" i="20"/>
  <c r="F276" i="20"/>
  <c r="G276" i="20" s="1"/>
  <c r="F278" i="20"/>
  <c r="G278" i="20" s="1"/>
  <c r="F281" i="20"/>
  <c r="G281" i="20" s="1"/>
  <c r="F283" i="20"/>
  <c r="G283" i="20" s="1"/>
  <c r="F286" i="20"/>
  <c r="G286" i="20" s="1"/>
  <c r="F288" i="20"/>
  <c r="G288" i="20" s="1"/>
  <c r="F393" i="20"/>
  <c r="G393" i="20" s="1"/>
  <c r="F399" i="20"/>
  <c r="G399" i="20" s="1"/>
  <c r="F401" i="20"/>
  <c r="G401" i="20" s="1"/>
  <c r="F402" i="20"/>
  <c r="G402" i="20" s="1"/>
  <c r="F403" i="20"/>
  <c r="G403" i="20" s="1"/>
  <c r="F404" i="20"/>
  <c r="G404" i="20" s="1"/>
  <c r="F408" i="20"/>
  <c r="G408" i="20" s="1"/>
  <c r="F410" i="20"/>
  <c r="G410" i="20" s="1"/>
  <c r="F411" i="20"/>
  <c r="G411" i="20" s="1"/>
  <c r="F413" i="20"/>
  <c r="G413" i="20" s="1"/>
  <c r="F416" i="20"/>
  <c r="G416" i="20" s="1"/>
  <c r="F418" i="20"/>
  <c r="G418" i="20" s="1"/>
  <c r="F419" i="20"/>
  <c r="G419" i="20" s="1"/>
  <c r="F423" i="20"/>
  <c r="G423" i="20" s="1"/>
  <c r="F424" i="20"/>
  <c r="F427" i="20"/>
  <c r="G427" i="20" s="1"/>
  <c r="F428" i="20"/>
  <c r="F430" i="20"/>
  <c r="G430" i="20" s="1"/>
  <c r="F431" i="20"/>
  <c r="G431" i="20" s="1"/>
  <c r="F434" i="20"/>
  <c r="G434" i="20" s="1"/>
  <c r="F435" i="20"/>
  <c r="G435" i="20" s="1"/>
  <c r="F436" i="20"/>
  <c r="G436" i="20" s="1"/>
  <c r="F439" i="20"/>
  <c r="F440" i="20"/>
  <c r="G440" i="20" s="1"/>
  <c r="F441" i="20"/>
  <c r="G441" i="20" s="1"/>
  <c r="F442" i="20"/>
  <c r="G442" i="20" s="1"/>
  <c r="F443" i="20"/>
  <c r="G443" i="20" s="1"/>
  <c r="F444" i="20"/>
  <c r="G444" i="20" s="1"/>
  <c r="F445" i="20"/>
  <c r="G445" i="20" s="1"/>
  <c r="F446" i="20"/>
  <c r="G446" i="20" s="1"/>
  <c r="F447" i="20"/>
  <c r="F449" i="20"/>
  <c r="G449" i="20" s="1"/>
  <c r="F454" i="20"/>
  <c r="G454" i="20" s="1"/>
  <c r="F455" i="20"/>
  <c r="G455" i="20" s="1"/>
  <c r="F458" i="20"/>
  <c r="G458" i="20" s="1"/>
  <c r="F471" i="20"/>
  <c r="G471" i="20" s="1"/>
  <c r="F472" i="20"/>
  <c r="G472" i="20" s="1"/>
  <c r="F460" i="20"/>
  <c r="G460" i="20" s="1"/>
  <c r="F473" i="20"/>
  <c r="G473" i="20" s="1"/>
  <c r="F462" i="20"/>
  <c r="G462" i="20" s="1"/>
  <c r="F475" i="20"/>
  <c r="G475" i="20" s="1"/>
  <c r="F464" i="20"/>
  <c r="G464" i="20" s="1"/>
  <c r="F477" i="20"/>
  <c r="G477" i="20" s="1"/>
  <c r="F465" i="20"/>
  <c r="G465" i="20" s="1"/>
  <c r="F478" i="20"/>
  <c r="G478" i="20" s="1"/>
  <c r="F467" i="20"/>
  <c r="G467" i="20" s="1"/>
  <c r="F481" i="20"/>
  <c r="G481" i="20" s="1"/>
  <c r="F482" i="20"/>
  <c r="G482" i="20" s="1"/>
  <c r="F470" i="20"/>
  <c r="G470" i="20" s="1"/>
  <c r="F391" i="20"/>
  <c r="G391" i="20" s="1"/>
  <c r="F392" i="20"/>
  <c r="G392" i="20" s="1"/>
  <c r="F394" i="20"/>
  <c r="G394" i="20" s="1"/>
  <c r="F400" i="20"/>
  <c r="G400" i="20" s="1"/>
  <c r="F405" i="20"/>
  <c r="G405" i="20" s="1"/>
  <c r="F407" i="20"/>
  <c r="G407" i="20" s="1"/>
  <c r="F414" i="20"/>
  <c r="G414" i="20" s="1"/>
  <c r="F421" i="20"/>
  <c r="G421" i="20" s="1"/>
  <c r="F433" i="20"/>
  <c r="G433" i="20" s="1"/>
  <c r="F437" i="20"/>
  <c r="G437" i="20" s="1"/>
  <c r="F438" i="20"/>
  <c r="G438" i="20" s="1"/>
  <c r="F448" i="20"/>
  <c r="G448" i="20" s="1"/>
  <c r="F453" i="20"/>
  <c r="G453" i="20" s="1"/>
  <c r="F457" i="20"/>
  <c r="G457" i="20" s="1"/>
  <c r="F459" i="20"/>
  <c r="G459" i="20" s="1"/>
  <c r="F474" i="20"/>
  <c r="G474" i="20" s="1"/>
  <c r="F463" i="20"/>
  <c r="G463" i="20" s="1"/>
  <c r="F468" i="20"/>
  <c r="F57" i="20"/>
  <c r="F58" i="20"/>
  <c r="F59" i="20"/>
  <c r="F60" i="20"/>
  <c r="F61" i="20"/>
  <c r="F62" i="20"/>
  <c r="F63" i="20"/>
  <c r="F64" i="20"/>
  <c r="F65" i="20"/>
  <c r="F66" i="20"/>
  <c r="F67" i="20"/>
  <c r="F81" i="20"/>
  <c r="F82" i="20"/>
  <c r="F93" i="20"/>
  <c r="F94" i="20"/>
  <c r="F95" i="20"/>
  <c r="F96" i="20"/>
  <c r="F97" i="20"/>
  <c r="F98" i="20"/>
  <c r="F99" i="20"/>
  <c r="F100" i="20"/>
  <c r="F101" i="20"/>
  <c r="F102" i="20"/>
  <c r="F103" i="20"/>
  <c r="F117" i="20"/>
  <c r="F118" i="20"/>
  <c r="F119" i="20"/>
  <c r="F120" i="20"/>
  <c r="F121" i="20"/>
  <c r="F122" i="20"/>
  <c r="F123" i="20"/>
  <c r="F124" i="20"/>
  <c r="F125" i="20"/>
  <c r="F126" i="20"/>
  <c r="F127" i="20"/>
  <c r="F176" i="20"/>
  <c r="F194" i="20"/>
  <c r="F224" i="20"/>
  <c r="F228" i="20"/>
  <c r="F236" i="20"/>
  <c r="F246" i="20"/>
  <c r="G246" i="20" s="1"/>
  <c r="F247" i="20"/>
  <c r="G247" i="20" s="1"/>
  <c r="F249" i="20"/>
  <c r="G249" i="20" s="1"/>
  <c r="F250" i="20"/>
  <c r="G250" i="20" s="1"/>
  <c r="F251" i="20"/>
  <c r="G251" i="20" s="1"/>
  <c r="F252" i="20"/>
  <c r="F253" i="20"/>
  <c r="G253" i="20" s="1"/>
  <c r="F254" i="20"/>
  <c r="G254" i="20" s="1"/>
  <c r="F256" i="20"/>
  <c r="F258" i="20"/>
  <c r="F260" i="20"/>
  <c r="G260" i="20" s="1"/>
  <c r="F261" i="20"/>
  <c r="F263" i="20"/>
  <c r="F265" i="20"/>
  <c r="G265" i="20" s="1"/>
  <c r="F267" i="20"/>
  <c r="G267" i="20" s="1"/>
  <c r="F268" i="20"/>
  <c r="G268" i="20" s="1"/>
  <c r="F270" i="20"/>
  <c r="G270" i="20" s="1"/>
  <c r="F272" i="20"/>
  <c r="G272" i="20" s="1"/>
  <c r="F273" i="20"/>
  <c r="G273" i="20" s="1"/>
  <c r="F275" i="20"/>
  <c r="G275" i="20" s="1"/>
  <c r="F277" i="20"/>
  <c r="G277" i="20" s="1"/>
  <c r="F279" i="20"/>
  <c r="G279" i="20" s="1"/>
  <c r="F280" i="20"/>
  <c r="G280" i="20" s="1"/>
  <c r="F282" i="20"/>
  <c r="G282" i="20" s="1"/>
  <c r="F284" i="20"/>
  <c r="F285" i="20"/>
  <c r="F287" i="20"/>
  <c r="F289" i="20"/>
  <c r="F290" i="20"/>
  <c r="G290" i="20" s="1"/>
  <c r="F390" i="20"/>
  <c r="G390" i="20" s="1"/>
  <c r="F395" i="20"/>
  <c r="G395" i="20" s="1"/>
  <c r="F396" i="20"/>
  <c r="G396" i="20" s="1"/>
  <c r="F397" i="20"/>
  <c r="G397" i="20" s="1"/>
  <c r="F398" i="20"/>
  <c r="G398" i="20" s="1"/>
  <c r="F406" i="20"/>
  <c r="G406" i="20" s="1"/>
  <c r="F409" i="20"/>
  <c r="G409" i="20" s="1"/>
  <c r="F412" i="20"/>
  <c r="G412" i="20" s="1"/>
  <c r="F415" i="20"/>
  <c r="G415" i="20" s="1"/>
  <c r="F417" i="20"/>
  <c r="F420" i="20"/>
  <c r="F422" i="20"/>
  <c r="G422" i="20" s="1"/>
  <c r="F425" i="20"/>
  <c r="G425" i="20" s="1"/>
  <c r="F426" i="20"/>
  <c r="G426" i="20" s="1"/>
  <c r="F429" i="20"/>
  <c r="G429" i="20" s="1"/>
  <c r="F432" i="20"/>
  <c r="G432" i="20" s="1"/>
  <c r="F450" i="20"/>
  <c r="G450" i="20" s="1"/>
  <c r="F451" i="20"/>
  <c r="G451" i="20" s="1"/>
  <c r="F452" i="20"/>
  <c r="G452" i="20" s="1"/>
  <c r="F456" i="20"/>
  <c r="G456" i="20" s="1"/>
  <c r="F461" i="20"/>
  <c r="G461" i="20" s="1"/>
  <c r="F476" i="20"/>
  <c r="G476" i="20" s="1"/>
  <c r="F466" i="20"/>
  <c r="G466" i="20" s="1"/>
  <c r="F479" i="20"/>
  <c r="G479" i="20" s="1"/>
  <c r="F480" i="20"/>
  <c r="G480" i="20" s="1"/>
  <c r="F469" i="20"/>
  <c r="G469" i="20" s="1"/>
  <c r="H101" i="20"/>
  <c r="I101" i="20" s="1"/>
  <c r="H103" i="20"/>
  <c r="I103" i="20" s="1"/>
  <c r="H105" i="20"/>
  <c r="I105" i="20" s="1"/>
  <c r="H107" i="20"/>
  <c r="I107" i="20" s="1"/>
  <c r="H109" i="20"/>
  <c r="I109" i="20" s="1"/>
  <c r="K48" i="11"/>
  <c r="T48" i="11"/>
  <c r="E48" i="11"/>
  <c r="H48" i="11"/>
  <c r="L48" i="11"/>
  <c r="N48" i="11"/>
  <c r="R38" i="11"/>
  <c r="M48" i="11"/>
  <c r="P48" i="11"/>
  <c r="I64" i="11"/>
  <c r="F48" i="11"/>
  <c r="J48" i="11"/>
  <c r="I48" i="11"/>
  <c r="R48" i="11"/>
  <c r="D48" i="11"/>
  <c r="D122" i="11"/>
  <c r="D123" i="11" s="1"/>
  <c r="E28" i="11"/>
  <c r="U59" i="24" l="1"/>
  <c r="U39" i="24" s="1"/>
  <c r="T59" i="24"/>
  <c r="T39" i="24" s="1"/>
  <c r="S59" i="24"/>
  <c r="S39" i="24" s="1"/>
  <c r="R59" i="24"/>
  <c r="R39" i="24" s="1"/>
  <c r="Q59" i="24"/>
  <c r="Q39" i="24" s="1"/>
  <c r="P59" i="24"/>
  <c r="P39" i="24" s="1"/>
  <c r="O59" i="24"/>
  <c r="O39" i="24" s="1"/>
  <c r="N59" i="24"/>
  <c r="N39" i="24" s="1"/>
  <c r="M59" i="24"/>
  <c r="M39" i="24" s="1"/>
  <c r="L59" i="24"/>
  <c r="L39" i="24" s="1"/>
  <c r="K59" i="24"/>
  <c r="K39" i="24" s="1"/>
  <c r="J59" i="24"/>
  <c r="J39" i="24" s="1"/>
  <c r="I59" i="24"/>
  <c r="I39" i="24" s="1"/>
  <c r="H59" i="24"/>
  <c r="H39" i="24" s="1"/>
  <c r="G59" i="24"/>
  <c r="G39" i="24" s="1"/>
  <c r="F59" i="24"/>
  <c r="F39" i="24" s="1"/>
  <c r="E59" i="24"/>
  <c r="D59" i="24"/>
  <c r="C59" i="24"/>
  <c r="U59" i="25"/>
  <c r="U39" i="25" s="1"/>
  <c r="T59" i="25"/>
  <c r="T39" i="25" s="1"/>
  <c r="S59" i="25"/>
  <c r="S39" i="25" s="1"/>
  <c r="R59" i="25"/>
  <c r="R39" i="25" s="1"/>
  <c r="Q59" i="25"/>
  <c r="Q39" i="25" s="1"/>
  <c r="P59" i="25"/>
  <c r="P39" i="25" s="1"/>
  <c r="O59" i="25"/>
  <c r="O39" i="25" s="1"/>
  <c r="N59" i="25"/>
  <c r="N39" i="25" s="1"/>
  <c r="M59" i="25"/>
  <c r="M39" i="25" s="1"/>
  <c r="L59" i="25"/>
  <c r="L39" i="25" s="1"/>
  <c r="K59" i="25"/>
  <c r="K39" i="25" s="1"/>
  <c r="J59" i="25"/>
  <c r="J39" i="25" s="1"/>
  <c r="I59" i="25"/>
  <c r="I39" i="25" s="1"/>
  <c r="H59" i="25"/>
  <c r="H39" i="25" s="1"/>
  <c r="G59" i="25"/>
  <c r="G39" i="25" s="1"/>
  <c r="F59" i="25"/>
  <c r="F39" i="25" s="1"/>
  <c r="E59" i="25"/>
  <c r="E39" i="25" s="1"/>
  <c r="D59" i="25"/>
  <c r="C59" i="25"/>
  <c r="U59" i="26"/>
  <c r="U39" i="26" s="1"/>
  <c r="T59" i="26"/>
  <c r="T39" i="26" s="1"/>
  <c r="S59" i="26"/>
  <c r="S39" i="26" s="1"/>
  <c r="R59" i="26"/>
  <c r="R39" i="26" s="1"/>
  <c r="Q59" i="26"/>
  <c r="Q39" i="26" s="1"/>
  <c r="P59" i="26"/>
  <c r="P39" i="26" s="1"/>
  <c r="O59" i="26"/>
  <c r="O39" i="26" s="1"/>
  <c r="N59" i="26"/>
  <c r="N39" i="26" s="1"/>
  <c r="M59" i="26"/>
  <c r="M39" i="26" s="1"/>
  <c r="L59" i="26"/>
  <c r="L39" i="26" s="1"/>
  <c r="K59" i="26"/>
  <c r="K39" i="26" s="1"/>
  <c r="J59" i="26"/>
  <c r="J39" i="26" s="1"/>
  <c r="I59" i="26"/>
  <c r="I39" i="26" s="1"/>
  <c r="H59" i="26"/>
  <c r="H39" i="26" s="1"/>
  <c r="G59" i="26"/>
  <c r="G39" i="26" s="1"/>
  <c r="F59" i="26"/>
  <c r="F39" i="26" s="1"/>
  <c r="E59" i="26"/>
  <c r="D59" i="26"/>
  <c r="C59" i="26"/>
  <c r="C41" i="11"/>
  <c r="G75" i="26"/>
  <c r="D41" i="26"/>
  <c r="D39" i="26"/>
  <c r="E41" i="26"/>
  <c r="E39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G75" i="25"/>
  <c r="D41" i="25"/>
  <c r="D39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D41" i="24"/>
  <c r="D39" i="24"/>
  <c r="E41" i="24"/>
  <c r="E39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G75" i="24"/>
  <c r="C124" i="11"/>
  <c r="G74" i="11"/>
  <c r="C42" i="11"/>
  <c r="G75" i="22"/>
  <c r="U59" i="22"/>
  <c r="U39" i="22" s="1"/>
  <c r="U124" i="22" s="1"/>
  <c r="T59" i="22"/>
  <c r="T39" i="22" s="1"/>
  <c r="T124" i="22" s="1"/>
  <c r="S59" i="22"/>
  <c r="S39" i="22" s="1"/>
  <c r="S124" i="22" s="1"/>
  <c r="R59" i="22"/>
  <c r="R39" i="22" s="1"/>
  <c r="R124" i="22" s="1"/>
  <c r="Q59" i="22"/>
  <c r="Q39" i="22" s="1"/>
  <c r="Q124" i="22" s="1"/>
  <c r="P59" i="22"/>
  <c r="P39" i="22" s="1"/>
  <c r="P124" i="22" s="1"/>
  <c r="O59" i="22"/>
  <c r="O39" i="22" s="1"/>
  <c r="O124" i="22" s="1"/>
  <c r="N59" i="22"/>
  <c r="N39" i="22" s="1"/>
  <c r="N124" i="22" s="1"/>
  <c r="M59" i="22"/>
  <c r="M39" i="22" s="1"/>
  <c r="M124" i="22" s="1"/>
  <c r="L59" i="22"/>
  <c r="L39" i="22" s="1"/>
  <c r="L124" i="22" s="1"/>
  <c r="K59" i="22"/>
  <c r="K39" i="22" s="1"/>
  <c r="K124" i="22" s="1"/>
  <c r="J59" i="22"/>
  <c r="J39" i="22" s="1"/>
  <c r="J124" i="22" s="1"/>
  <c r="I59" i="22"/>
  <c r="I39" i="22" s="1"/>
  <c r="I124" i="22" s="1"/>
  <c r="H59" i="22"/>
  <c r="H39" i="22" s="1"/>
  <c r="H124" i="22" s="1"/>
  <c r="G59" i="22"/>
  <c r="G39" i="22" s="1"/>
  <c r="G124" i="22" s="1"/>
  <c r="F59" i="22"/>
  <c r="F39" i="22" s="1"/>
  <c r="F124" i="22" s="1"/>
  <c r="E59" i="22"/>
  <c r="D59" i="22"/>
  <c r="C59" i="22"/>
  <c r="D41" i="22"/>
  <c r="D39" i="22"/>
  <c r="D124" i="22" s="1"/>
  <c r="E41" i="22"/>
  <c r="I75" i="22" s="1"/>
  <c r="E39" i="22"/>
  <c r="E124" i="22" s="1"/>
  <c r="F41" i="22"/>
  <c r="J75" i="22" s="1"/>
  <c r="G41" i="22"/>
  <c r="K75" i="22" s="1"/>
  <c r="H41" i="22"/>
  <c r="L75" i="22" s="1"/>
  <c r="I41" i="22"/>
  <c r="M75" i="22" s="1"/>
  <c r="J41" i="22"/>
  <c r="N75" i="22" s="1"/>
  <c r="K41" i="22"/>
  <c r="O75" i="22" s="1"/>
  <c r="L41" i="22"/>
  <c r="P75" i="22" s="1"/>
  <c r="M41" i="22"/>
  <c r="Q75" i="22" s="1"/>
  <c r="N41" i="22"/>
  <c r="R75" i="22" s="1"/>
  <c r="O41" i="22"/>
  <c r="S75" i="22" s="1"/>
  <c r="P41" i="22"/>
  <c r="T75" i="22" s="1"/>
  <c r="Q41" i="22"/>
  <c r="U75" i="22" s="1"/>
  <c r="R41" i="22"/>
  <c r="S41" i="22"/>
  <c r="T41" i="22"/>
  <c r="U41" i="22"/>
  <c r="U59" i="23"/>
  <c r="U39" i="23" s="1"/>
  <c r="U124" i="23" s="1"/>
  <c r="T59" i="23"/>
  <c r="T39" i="23" s="1"/>
  <c r="T124" i="23" s="1"/>
  <c r="S59" i="23"/>
  <c r="S39" i="23" s="1"/>
  <c r="S124" i="23" s="1"/>
  <c r="R59" i="23"/>
  <c r="R39" i="23" s="1"/>
  <c r="R124" i="23" s="1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D31" i="11"/>
  <c r="T122" i="26"/>
  <c r="T123" i="26" s="1"/>
  <c r="U122" i="26"/>
  <c r="U123" i="26" s="1"/>
  <c r="T75" i="25"/>
  <c r="U75" i="25"/>
  <c r="G417" i="20"/>
  <c r="G287" i="20"/>
  <c r="G284" i="20"/>
  <c r="G263" i="20"/>
  <c r="G256" i="20"/>
  <c r="G274" i="20"/>
  <c r="G259" i="20"/>
  <c r="G308" i="20"/>
  <c r="G356" i="20"/>
  <c r="G380" i="20"/>
  <c r="G329" i="20"/>
  <c r="G377" i="20"/>
  <c r="G364" i="20"/>
  <c r="G374" i="20"/>
  <c r="G312" i="20"/>
  <c r="G360" i="20"/>
  <c r="G311" i="20"/>
  <c r="G310" i="20"/>
  <c r="G345" i="20"/>
  <c r="G307" i="20"/>
  <c r="G355" i="20"/>
  <c r="G303" i="20"/>
  <c r="I363" i="20"/>
  <c r="I375" i="20"/>
  <c r="G420" i="20"/>
  <c r="G289" i="20"/>
  <c r="G285" i="20"/>
  <c r="G261" i="20"/>
  <c r="G258" i="20"/>
  <c r="G252" i="20"/>
  <c r="G468" i="20"/>
  <c r="G447" i="20"/>
  <c r="G439" i="20"/>
  <c r="G428" i="20"/>
  <c r="G424" i="20"/>
  <c r="G266" i="20"/>
  <c r="G248" i="20"/>
  <c r="G314" i="20"/>
  <c r="G370" i="20"/>
  <c r="G309" i="20"/>
  <c r="G367" i="20"/>
  <c r="G304" i="20"/>
  <c r="I315" i="20"/>
  <c r="G75" i="11"/>
  <c r="R59" i="21"/>
  <c r="R39" i="21" s="1"/>
  <c r="R124" i="21" s="1"/>
  <c r="N59" i="21"/>
  <c r="J59" i="21"/>
  <c r="F59" i="21"/>
  <c r="U59" i="21"/>
  <c r="U39" i="21" s="1"/>
  <c r="U124" i="21" s="1"/>
  <c r="Q59" i="21"/>
  <c r="M59" i="21"/>
  <c r="I59" i="21"/>
  <c r="E59" i="21"/>
  <c r="T59" i="21"/>
  <c r="T39" i="21" s="1"/>
  <c r="T124" i="21" s="1"/>
  <c r="P59" i="21"/>
  <c r="L59" i="21"/>
  <c r="H59" i="21"/>
  <c r="D59" i="21"/>
  <c r="D39" i="21" s="1"/>
  <c r="D124" i="21" s="1"/>
  <c r="S59" i="21"/>
  <c r="S39" i="21" s="1"/>
  <c r="S124" i="21" s="1"/>
  <c r="O59" i="21"/>
  <c r="K59" i="21"/>
  <c r="G59" i="21"/>
  <c r="C59" i="21"/>
  <c r="T122" i="21"/>
  <c r="T123" i="21" s="1"/>
  <c r="U28" i="21"/>
  <c r="U122" i="21" s="1"/>
  <c r="U123" i="21" s="1"/>
  <c r="E52" i="11"/>
  <c r="F51" i="11"/>
  <c r="U60" i="11"/>
  <c r="U62" i="11" s="1"/>
  <c r="R60" i="11"/>
  <c r="R62" i="11" s="1"/>
  <c r="F60" i="11"/>
  <c r="I60" i="11"/>
  <c r="I62" i="11" s="1"/>
  <c r="T60" i="11"/>
  <c r="T62" i="11" s="1"/>
  <c r="G60" i="11"/>
  <c r="G62" i="11" s="1"/>
  <c r="Q60" i="11"/>
  <c r="Q62" i="11" s="1"/>
  <c r="N60" i="11"/>
  <c r="N62" i="11" s="1"/>
  <c r="E60" i="11"/>
  <c r="D60" i="11"/>
  <c r="D62" i="11" s="1"/>
  <c r="D32" i="11" s="1"/>
  <c r="D33" i="11" s="1"/>
  <c r="J60" i="11"/>
  <c r="J62" i="11" s="1"/>
  <c r="P60" i="11"/>
  <c r="P62" i="11" s="1"/>
  <c r="S60" i="11"/>
  <c r="S62" i="11" s="1"/>
  <c r="L60" i="11"/>
  <c r="L62" i="11" s="1"/>
  <c r="O60" i="11"/>
  <c r="O62" i="11" s="1"/>
  <c r="M60" i="11"/>
  <c r="M62" i="11" s="1"/>
  <c r="H60" i="11"/>
  <c r="H62" i="11" s="1"/>
  <c r="K60" i="11"/>
  <c r="K62" i="11" s="1"/>
  <c r="C60" i="11"/>
  <c r="M59" i="11"/>
  <c r="M39" i="11" s="1"/>
  <c r="K59" i="11"/>
  <c r="K39" i="11" s="1"/>
  <c r="F59" i="11"/>
  <c r="P59" i="11"/>
  <c r="P39" i="11" s="1"/>
  <c r="D59" i="11"/>
  <c r="O59" i="11"/>
  <c r="O39" i="11" s="1"/>
  <c r="I59" i="11"/>
  <c r="T59" i="11"/>
  <c r="T39" i="11" s="1"/>
  <c r="N59" i="11"/>
  <c r="N39" i="11" s="1"/>
  <c r="E59" i="11"/>
  <c r="L59" i="11"/>
  <c r="L39" i="11" s="1"/>
  <c r="G59" i="11"/>
  <c r="U59" i="11"/>
  <c r="U39" i="11" s="1"/>
  <c r="H59" i="11"/>
  <c r="J59" i="11"/>
  <c r="Q59" i="11"/>
  <c r="Q39" i="11" s="1"/>
  <c r="R59" i="11"/>
  <c r="R39" i="11" s="1"/>
  <c r="S59" i="11"/>
  <c r="S39" i="11" s="1"/>
  <c r="C59" i="11"/>
  <c r="E122" i="11"/>
  <c r="E123" i="11" s="1"/>
  <c r="F28" i="11"/>
  <c r="S41" i="21" l="1"/>
  <c r="D42" i="21"/>
  <c r="D40" i="21"/>
  <c r="D41" i="21" s="1"/>
  <c r="T41" i="21"/>
  <c r="E39" i="21"/>
  <c r="U41" i="21"/>
  <c r="R41" i="21"/>
  <c r="U42" i="24"/>
  <c r="U40" i="24"/>
  <c r="T42" i="24"/>
  <c r="T40" i="24"/>
  <c r="S42" i="24"/>
  <c r="S40" i="24"/>
  <c r="R42" i="24"/>
  <c r="R40" i="24"/>
  <c r="Q42" i="24"/>
  <c r="Q40" i="24"/>
  <c r="P42" i="24"/>
  <c r="P40" i="24"/>
  <c r="O42" i="24"/>
  <c r="O40" i="24"/>
  <c r="N42" i="24"/>
  <c r="N40" i="24"/>
  <c r="M42" i="24"/>
  <c r="M40" i="24"/>
  <c r="L42" i="24"/>
  <c r="L40" i="24"/>
  <c r="K42" i="24"/>
  <c r="K40" i="24"/>
  <c r="J42" i="24"/>
  <c r="J40" i="24"/>
  <c r="I42" i="24"/>
  <c r="I40" i="24"/>
  <c r="H42" i="24"/>
  <c r="H40" i="24"/>
  <c r="G42" i="24"/>
  <c r="G40" i="24"/>
  <c r="F42" i="24"/>
  <c r="F40" i="24"/>
  <c r="E42" i="24"/>
  <c r="E40" i="24"/>
  <c r="D42" i="24"/>
  <c r="D40" i="24"/>
  <c r="U42" i="25"/>
  <c r="U40" i="25"/>
  <c r="T42" i="25"/>
  <c r="T40" i="25"/>
  <c r="S42" i="25"/>
  <c r="S40" i="25"/>
  <c r="R42" i="25"/>
  <c r="R40" i="25"/>
  <c r="Q42" i="25"/>
  <c r="Q40" i="25"/>
  <c r="P42" i="25"/>
  <c r="P40" i="25"/>
  <c r="O42" i="25"/>
  <c r="O40" i="25"/>
  <c r="N42" i="25"/>
  <c r="N40" i="25"/>
  <c r="M42" i="25"/>
  <c r="M40" i="25"/>
  <c r="L42" i="25"/>
  <c r="L40" i="25"/>
  <c r="K42" i="25"/>
  <c r="K40" i="25"/>
  <c r="J42" i="25"/>
  <c r="J40" i="25"/>
  <c r="I42" i="25"/>
  <c r="I40" i="25"/>
  <c r="H42" i="25"/>
  <c r="H40" i="25"/>
  <c r="G42" i="25"/>
  <c r="G40" i="25"/>
  <c r="F42" i="25"/>
  <c r="F40" i="25"/>
  <c r="E42" i="25"/>
  <c r="E40" i="25"/>
  <c r="D42" i="25"/>
  <c r="D40" i="25"/>
  <c r="V41" i="25"/>
  <c r="U42" i="26"/>
  <c r="U40" i="26"/>
  <c r="T42" i="26"/>
  <c r="T40" i="26"/>
  <c r="S42" i="26"/>
  <c r="S40" i="26"/>
  <c r="R42" i="26"/>
  <c r="R40" i="26"/>
  <c r="Q42" i="26"/>
  <c r="Q40" i="26"/>
  <c r="P42" i="26"/>
  <c r="P40" i="26"/>
  <c r="O42" i="26"/>
  <c r="O40" i="26"/>
  <c r="N42" i="26"/>
  <c r="N40" i="26"/>
  <c r="M42" i="26"/>
  <c r="M40" i="26"/>
  <c r="L42" i="26"/>
  <c r="L40" i="26"/>
  <c r="K42" i="26"/>
  <c r="K40" i="26"/>
  <c r="J42" i="26"/>
  <c r="J40" i="26"/>
  <c r="I42" i="26"/>
  <c r="I40" i="26"/>
  <c r="H42" i="26"/>
  <c r="H40" i="26"/>
  <c r="G42" i="26"/>
  <c r="G40" i="26"/>
  <c r="F42" i="26"/>
  <c r="F40" i="26"/>
  <c r="E42" i="26"/>
  <c r="E40" i="26"/>
  <c r="D42" i="26"/>
  <c r="D40" i="26"/>
  <c r="V41" i="26"/>
  <c r="U42" i="22"/>
  <c r="U40" i="22"/>
  <c r="T42" i="22"/>
  <c r="T40" i="22"/>
  <c r="S42" i="22"/>
  <c r="S40" i="22"/>
  <c r="R42" i="22"/>
  <c r="R40" i="22"/>
  <c r="Q42" i="22"/>
  <c r="Q40" i="22"/>
  <c r="U74" i="22"/>
  <c r="P42" i="22"/>
  <c r="P40" i="22"/>
  <c r="T74" i="22"/>
  <c r="O42" i="22"/>
  <c r="O40" i="22"/>
  <c r="S74" i="22"/>
  <c r="N42" i="22"/>
  <c r="N40" i="22"/>
  <c r="R74" i="22"/>
  <c r="M42" i="22"/>
  <c r="M40" i="22"/>
  <c r="Q74" i="22"/>
  <c r="L42" i="22"/>
  <c r="L40" i="22"/>
  <c r="P74" i="22"/>
  <c r="K42" i="22"/>
  <c r="K40" i="22"/>
  <c r="O74" i="22"/>
  <c r="J42" i="22"/>
  <c r="J40" i="22"/>
  <c r="N74" i="22"/>
  <c r="I42" i="22"/>
  <c r="I40" i="22"/>
  <c r="M74" i="22"/>
  <c r="H42" i="22"/>
  <c r="H40" i="22"/>
  <c r="L74" i="22"/>
  <c r="G42" i="22"/>
  <c r="G40" i="22"/>
  <c r="K74" i="22"/>
  <c r="F42" i="22"/>
  <c r="F40" i="22"/>
  <c r="J74" i="22"/>
  <c r="E42" i="22"/>
  <c r="E40" i="22"/>
  <c r="I74" i="22"/>
  <c r="D42" i="22"/>
  <c r="D40" i="22"/>
  <c r="H74" i="22"/>
  <c r="H75" i="22"/>
  <c r="V41" i="22"/>
  <c r="V75" i="22" s="1"/>
  <c r="D39" i="23"/>
  <c r="D124" i="23" s="1"/>
  <c r="E39" i="23"/>
  <c r="R41" i="23"/>
  <c r="S41" i="23"/>
  <c r="T41" i="23"/>
  <c r="U41" i="23"/>
  <c r="S41" i="11"/>
  <c r="S42" i="11"/>
  <c r="R41" i="11"/>
  <c r="R42" i="11"/>
  <c r="Q41" i="11"/>
  <c r="Q42" i="11"/>
  <c r="U41" i="11"/>
  <c r="U42" i="11"/>
  <c r="L41" i="11"/>
  <c r="L42" i="11"/>
  <c r="N41" i="11"/>
  <c r="N42" i="11"/>
  <c r="T41" i="11"/>
  <c r="T42" i="11"/>
  <c r="O41" i="11"/>
  <c r="O42" i="11"/>
  <c r="P41" i="11"/>
  <c r="P42" i="11"/>
  <c r="K41" i="11"/>
  <c r="K42" i="11"/>
  <c r="M41" i="11"/>
  <c r="M42" i="11"/>
  <c r="H75" i="26"/>
  <c r="H74" i="26"/>
  <c r="T74" i="25"/>
  <c r="U74" i="25"/>
  <c r="H74" i="25"/>
  <c r="H75" i="25"/>
  <c r="H74" i="23"/>
  <c r="I75" i="24"/>
  <c r="I74" i="24"/>
  <c r="H74" i="24"/>
  <c r="H75" i="24"/>
  <c r="H74" i="21"/>
  <c r="E54" i="11"/>
  <c r="E62" i="11"/>
  <c r="E32" i="11" s="1"/>
  <c r="E33" i="11" s="1"/>
  <c r="F54" i="11"/>
  <c r="F62" i="11"/>
  <c r="F32" i="11" s="1"/>
  <c r="F33" i="11" s="1"/>
  <c r="G51" i="11"/>
  <c r="F52" i="11"/>
  <c r="K32" i="11"/>
  <c r="K33" i="11" s="1"/>
  <c r="M32" i="11"/>
  <c r="M33" i="11" s="1"/>
  <c r="L32" i="11"/>
  <c r="L33" i="11" s="1"/>
  <c r="P32" i="11"/>
  <c r="P33" i="11" s="1"/>
  <c r="N32" i="11"/>
  <c r="N33" i="11" s="1"/>
  <c r="G54" i="11"/>
  <c r="G55" i="11" s="1"/>
  <c r="G32" i="11"/>
  <c r="I32" i="11"/>
  <c r="I33" i="11" s="1"/>
  <c r="R32" i="11"/>
  <c r="R33" i="11" s="1"/>
  <c r="H32" i="11"/>
  <c r="H33" i="11" s="1"/>
  <c r="O32" i="11"/>
  <c r="O33" i="11" s="1"/>
  <c r="S32" i="11"/>
  <c r="S33" i="11" s="1"/>
  <c r="J32" i="11"/>
  <c r="J33" i="11" s="1"/>
  <c r="Q32" i="11"/>
  <c r="Q33" i="11" s="1"/>
  <c r="T32" i="11"/>
  <c r="T33" i="11" s="1"/>
  <c r="U32" i="11"/>
  <c r="U33" i="11" s="1"/>
  <c r="G28" i="11"/>
  <c r="F122" i="11"/>
  <c r="F123" i="11" s="1"/>
  <c r="F39" i="21" l="1"/>
  <c r="E124" i="21"/>
  <c r="E124" i="23"/>
  <c r="F39" i="23"/>
  <c r="R42" i="21"/>
  <c r="R40" i="21"/>
  <c r="F42" i="21"/>
  <c r="F40" i="21"/>
  <c r="F41" i="21" s="1"/>
  <c r="U42" i="21"/>
  <c r="U40" i="21"/>
  <c r="E42" i="21"/>
  <c r="E40" i="21"/>
  <c r="E41" i="21" s="1"/>
  <c r="T42" i="21"/>
  <c r="T40" i="21"/>
  <c r="S42" i="21"/>
  <c r="S40" i="21"/>
  <c r="H54" i="11"/>
  <c r="H55" i="11" s="1"/>
  <c r="G30" i="11"/>
  <c r="F55" i="11"/>
  <c r="F30" i="11"/>
  <c r="E55" i="11"/>
  <c r="E31" i="11" s="1"/>
  <c r="E30" i="11"/>
  <c r="U42" i="23"/>
  <c r="U40" i="23"/>
  <c r="T42" i="23"/>
  <c r="T40" i="23"/>
  <c r="S42" i="23"/>
  <c r="S40" i="23"/>
  <c r="R42" i="23"/>
  <c r="R40" i="23"/>
  <c r="F42" i="23"/>
  <c r="F40" i="23"/>
  <c r="F41" i="23" s="1"/>
  <c r="E42" i="23"/>
  <c r="E40" i="23"/>
  <c r="E41" i="23" s="1"/>
  <c r="D42" i="23"/>
  <c r="D40" i="23"/>
  <c r="D41" i="23" s="1"/>
  <c r="I74" i="21"/>
  <c r="M124" i="11"/>
  <c r="K124" i="11"/>
  <c r="P124" i="11"/>
  <c r="O124" i="11"/>
  <c r="T124" i="11"/>
  <c r="N124" i="11"/>
  <c r="L124" i="11"/>
  <c r="U124" i="11"/>
  <c r="Q124" i="11"/>
  <c r="R124" i="11"/>
  <c r="S124" i="11"/>
  <c r="H75" i="21"/>
  <c r="J74" i="24"/>
  <c r="G58" i="20"/>
  <c r="G61" i="20"/>
  <c r="G57" i="20"/>
  <c r="G62" i="20"/>
  <c r="G59" i="20"/>
  <c r="G60" i="20"/>
  <c r="J75" i="24"/>
  <c r="O168" i="20"/>
  <c r="O169" i="20"/>
  <c r="O165" i="20"/>
  <c r="O170" i="20"/>
  <c r="O166" i="20"/>
  <c r="O167" i="20"/>
  <c r="I75" i="26"/>
  <c r="I74" i="26"/>
  <c r="Q130" i="20"/>
  <c r="Q134" i="20"/>
  <c r="Q131" i="20"/>
  <c r="Q132" i="20"/>
  <c r="Q129" i="20"/>
  <c r="Q133" i="20"/>
  <c r="K75" i="24"/>
  <c r="K74" i="24"/>
  <c r="I74" i="25"/>
  <c r="I75" i="25"/>
  <c r="M155" i="20"/>
  <c r="M158" i="20"/>
  <c r="M157" i="20"/>
  <c r="M156" i="20"/>
  <c r="M154" i="20"/>
  <c r="M153" i="20"/>
  <c r="M163" i="20"/>
  <c r="M164" i="20"/>
  <c r="M159" i="20"/>
  <c r="M162" i="20"/>
  <c r="M161" i="20"/>
  <c r="M160" i="20"/>
  <c r="M166" i="20"/>
  <c r="M165" i="20"/>
  <c r="M167" i="20"/>
  <c r="M170" i="20"/>
  <c r="M169" i="20"/>
  <c r="M168" i="20"/>
  <c r="M171" i="20"/>
  <c r="M174" i="20"/>
  <c r="M173" i="20"/>
  <c r="M172" i="20"/>
  <c r="M175" i="20"/>
  <c r="M176" i="20"/>
  <c r="K148" i="20"/>
  <c r="K150" i="20"/>
  <c r="K147" i="20"/>
  <c r="K149" i="20"/>
  <c r="K151" i="20"/>
  <c r="K152" i="20"/>
  <c r="I75" i="23"/>
  <c r="I74" i="23"/>
  <c r="L74" i="24"/>
  <c r="I144" i="20"/>
  <c r="I143" i="20"/>
  <c r="I145" i="20"/>
  <c r="I141" i="20"/>
  <c r="I146" i="20"/>
  <c r="I142" i="20"/>
  <c r="G70" i="20"/>
  <c r="G72" i="20"/>
  <c r="G69" i="20"/>
  <c r="I140" i="20"/>
  <c r="I138" i="20"/>
  <c r="I137" i="20"/>
  <c r="I135" i="20"/>
  <c r="I139" i="20"/>
  <c r="I136" i="20"/>
  <c r="F31" i="11"/>
  <c r="H51" i="11"/>
  <c r="G52" i="11"/>
  <c r="G31" i="11" s="1"/>
  <c r="G33" i="11"/>
  <c r="V32" i="11"/>
  <c r="V33" i="11"/>
  <c r="G122" i="11"/>
  <c r="G123" i="11" s="1"/>
  <c r="H28" i="11"/>
  <c r="G39" i="21" l="1"/>
  <c r="F124" i="21"/>
  <c r="F124" i="23"/>
  <c r="G39" i="23"/>
  <c r="G42" i="21"/>
  <c r="G40" i="21"/>
  <c r="G41" i="21" s="1"/>
  <c r="H30" i="11"/>
  <c r="H75" i="23"/>
  <c r="G74" i="20"/>
  <c r="I75" i="21"/>
  <c r="G73" i="20"/>
  <c r="G71" i="20"/>
  <c r="G64" i="20"/>
  <c r="G65" i="20"/>
  <c r="G66" i="20"/>
  <c r="G67" i="20"/>
  <c r="G63" i="20"/>
  <c r="G68" i="20"/>
  <c r="J74" i="21"/>
  <c r="L75" i="24"/>
  <c r="O176" i="20"/>
  <c r="O172" i="20"/>
  <c r="O173" i="20"/>
  <c r="O174" i="20"/>
  <c r="O175" i="20"/>
  <c r="O171" i="20"/>
  <c r="J74" i="26"/>
  <c r="J75" i="26"/>
  <c r="Q138" i="20"/>
  <c r="Q135" i="20"/>
  <c r="Q139" i="20"/>
  <c r="Q136" i="20"/>
  <c r="Q140" i="20"/>
  <c r="Q137" i="20"/>
  <c r="J74" i="25"/>
  <c r="J75" i="25"/>
  <c r="J74" i="23"/>
  <c r="J75" i="23"/>
  <c r="M179" i="20"/>
  <c r="M182" i="20"/>
  <c r="M181" i="20"/>
  <c r="M180" i="20"/>
  <c r="M178" i="20"/>
  <c r="M177" i="20"/>
  <c r="M74" i="24"/>
  <c r="M75" i="24"/>
  <c r="K155" i="20"/>
  <c r="K158" i="20"/>
  <c r="K157" i="20"/>
  <c r="K156" i="20"/>
  <c r="K154" i="20"/>
  <c r="K153" i="20"/>
  <c r="I151" i="20"/>
  <c r="I147" i="20"/>
  <c r="I150" i="20"/>
  <c r="I148" i="20"/>
  <c r="I149" i="20"/>
  <c r="I152" i="20"/>
  <c r="I156" i="20"/>
  <c r="I154" i="20"/>
  <c r="I153" i="20"/>
  <c r="I157" i="20"/>
  <c r="I155" i="20"/>
  <c r="I158" i="20"/>
  <c r="I51" i="11"/>
  <c r="H52" i="11"/>
  <c r="H31" i="11" s="1"/>
  <c r="I54" i="11"/>
  <c r="I55" i="11" s="1"/>
  <c r="H122" i="11"/>
  <c r="H123" i="11" s="1"/>
  <c r="I28" i="11"/>
  <c r="H39" i="21" l="1"/>
  <c r="G124" i="21"/>
  <c r="G124" i="23"/>
  <c r="H39" i="23"/>
  <c r="G42" i="23"/>
  <c r="G40" i="23"/>
  <c r="G41" i="23" s="1"/>
  <c r="H42" i="21"/>
  <c r="H40" i="21"/>
  <c r="H41" i="21" s="1"/>
  <c r="I30" i="11"/>
  <c r="J75" i="21"/>
  <c r="K74" i="21"/>
  <c r="G78" i="20"/>
  <c r="G75" i="20"/>
  <c r="G77" i="20"/>
  <c r="G79" i="20"/>
  <c r="G76" i="20"/>
  <c r="G80" i="20"/>
  <c r="Q142" i="20"/>
  <c r="Q146" i="20"/>
  <c r="Q143" i="20"/>
  <c r="Q144" i="20"/>
  <c r="Q141" i="20"/>
  <c r="Q145" i="20"/>
  <c r="O180" i="20"/>
  <c r="O181" i="20"/>
  <c r="O177" i="20"/>
  <c r="O182" i="20"/>
  <c r="O178" i="20"/>
  <c r="O179" i="20"/>
  <c r="K75" i="26"/>
  <c r="K74" i="26"/>
  <c r="K74" i="25"/>
  <c r="K75" i="25"/>
  <c r="M187" i="20"/>
  <c r="M188" i="20"/>
  <c r="M183" i="20"/>
  <c r="M186" i="20"/>
  <c r="M185" i="20"/>
  <c r="M184" i="20"/>
  <c r="N75" i="24"/>
  <c r="N74" i="24"/>
  <c r="K164" i="20"/>
  <c r="K163" i="20"/>
  <c r="K161" i="20"/>
  <c r="K160" i="20"/>
  <c r="K159" i="20"/>
  <c r="K162" i="20"/>
  <c r="K74" i="23"/>
  <c r="K75" i="23"/>
  <c r="I161" i="20"/>
  <c r="I163" i="20"/>
  <c r="I160" i="20"/>
  <c r="I164" i="20"/>
  <c r="I162" i="20"/>
  <c r="I159" i="20"/>
  <c r="L74" i="21"/>
  <c r="I52" i="11"/>
  <c r="I31" i="11" s="1"/>
  <c r="J51" i="11"/>
  <c r="J54" i="11"/>
  <c r="J55" i="11" s="1"/>
  <c r="I122" i="11"/>
  <c r="I123" i="11" s="1"/>
  <c r="J28" i="11"/>
  <c r="I39" i="21" l="1"/>
  <c r="H124" i="21"/>
  <c r="H124" i="23"/>
  <c r="I39" i="23"/>
  <c r="H42" i="23"/>
  <c r="H40" i="23"/>
  <c r="H41" i="23" s="1"/>
  <c r="I42" i="21"/>
  <c r="I40" i="21"/>
  <c r="I41" i="21" s="1"/>
  <c r="L75" i="21"/>
  <c r="K75" i="21"/>
  <c r="G85" i="20"/>
  <c r="G84" i="20"/>
  <c r="G81" i="20"/>
  <c r="G83" i="20"/>
  <c r="G82" i="20"/>
  <c r="G86" i="20"/>
  <c r="O188" i="20"/>
  <c r="O184" i="20"/>
  <c r="O185" i="20"/>
  <c r="O186" i="20"/>
  <c r="O187" i="20"/>
  <c r="O183" i="20"/>
  <c r="Q150" i="20"/>
  <c r="Q152" i="20"/>
  <c r="Q147" i="20"/>
  <c r="Q149" i="20"/>
  <c r="Q148" i="20"/>
  <c r="Q151" i="20"/>
  <c r="L74" i="26"/>
  <c r="L75" i="26"/>
  <c r="L74" i="25"/>
  <c r="L75" i="25"/>
  <c r="K168" i="20"/>
  <c r="K166" i="20"/>
  <c r="K165" i="20"/>
  <c r="K167" i="20"/>
  <c r="K170" i="20"/>
  <c r="K169" i="20"/>
  <c r="L74" i="23"/>
  <c r="L75" i="23"/>
  <c r="M190" i="20"/>
  <c r="M189" i="20"/>
  <c r="M191" i="20"/>
  <c r="M194" i="20"/>
  <c r="M193" i="20"/>
  <c r="M192" i="20"/>
  <c r="O74" i="24"/>
  <c r="O75" i="24"/>
  <c r="M74" i="21"/>
  <c r="I169" i="20"/>
  <c r="I166" i="20"/>
  <c r="I168" i="20"/>
  <c r="I167" i="20"/>
  <c r="I170" i="20"/>
  <c r="I165" i="20"/>
  <c r="K54" i="11"/>
  <c r="K55" i="11" s="1"/>
  <c r="K51" i="11"/>
  <c r="J30" i="11"/>
  <c r="J52" i="11"/>
  <c r="J31" i="11" s="1"/>
  <c r="J122" i="11"/>
  <c r="J123" i="11" s="1"/>
  <c r="K28" i="11"/>
  <c r="J39" i="21" l="1"/>
  <c r="I124" i="21"/>
  <c r="I124" i="23"/>
  <c r="J39" i="23"/>
  <c r="I42" i="23"/>
  <c r="I40" i="23"/>
  <c r="I41" i="23" s="1"/>
  <c r="J42" i="21"/>
  <c r="J40" i="21"/>
  <c r="J41" i="21" s="1"/>
  <c r="M75" i="21"/>
  <c r="G89" i="20"/>
  <c r="G91" i="20"/>
  <c r="G92" i="20"/>
  <c r="G88" i="20"/>
  <c r="G90" i="20"/>
  <c r="G87" i="20"/>
  <c r="O192" i="20"/>
  <c r="O193" i="20"/>
  <c r="O189" i="20"/>
  <c r="O194" i="20"/>
  <c r="O190" i="20"/>
  <c r="O191" i="20"/>
  <c r="Q212" i="20"/>
  <c r="M75" i="26"/>
  <c r="M74" i="26"/>
  <c r="Q158" i="20"/>
  <c r="Q153" i="20"/>
  <c r="Q155" i="20"/>
  <c r="Q154" i="20"/>
  <c r="Q157" i="20"/>
  <c r="Q156" i="20"/>
  <c r="M75" i="25"/>
  <c r="M74" i="25"/>
  <c r="M195" i="20"/>
  <c r="M198" i="20"/>
  <c r="M197" i="20"/>
  <c r="M196" i="20"/>
  <c r="M199" i="20"/>
  <c r="M200" i="20"/>
  <c r="P74" i="24"/>
  <c r="P75" i="24"/>
  <c r="K172" i="20"/>
  <c r="K171" i="20"/>
  <c r="K174" i="20"/>
  <c r="K176" i="20"/>
  <c r="K175" i="20"/>
  <c r="K173" i="20"/>
  <c r="M75" i="23"/>
  <c r="M74" i="23"/>
  <c r="I174" i="20"/>
  <c r="I173" i="20"/>
  <c r="I175" i="20"/>
  <c r="I172" i="20"/>
  <c r="I176" i="20"/>
  <c r="I171" i="20"/>
  <c r="G152" i="20"/>
  <c r="N74" i="21"/>
  <c r="K52" i="11"/>
  <c r="K31" i="11" s="1"/>
  <c r="L51" i="11"/>
  <c r="L54" i="11"/>
  <c r="L55" i="11" s="1"/>
  <c r="K30" i="11"/>
  <c r="L28" i="11"/>
  <c r="K122" i="11"/>
  <c r="K123" i="11" s="1"/>
  <c r="K39" i="21" l="1"/>
  <c r="J124" i="21"/>
  <c r="J124" i="23"/>
  <c r="K39" i="23"/>
  <c r="J42" i="23"/>
  <c r="J40" i="23"/>
  <c r="J41" i="23" s="1"/>
  <c r="K42" i="21"/>
  <c r="K40" i="21"/>
  <c r="K41" i="21" s="1"/>
  <c r="N75" i="21"/>
  <c r="G94" i="20"/>
  <c r="G93" i="20"/>
  <c r="G95" i="20"/>
  <c r="G97" i="20"/>
  <c r="G96" i="20"/>
  <c r="G98" i="20"/>
  <c r="G181" i="20"/>
  <c r="G177" i="20"/>
  <c r="G180" i="20"/>
  <c r="G179" i="20"/>
  <c r="G182" i="20"/>
  <c r="G178" i="20"/>
  <c r="O200" i="20"/>
  <c r="O196" i="20"/>
  <c r="O197" i="20"/>
  <c r="O198" i="20"/>
  <c r="O199" i="20"/>
  <c r="O195" i="20"/>
  <c r="N75" i="26"/>
  <c r="N74" i="26"/>
  <c r="Q161" i="20"/>
  <c r="Q160" i="20"/>
  <c r="Q163" i="20"/>
  <c r="Q162" i="20"/>
  <c r="Q164" i="20"/>
  <c r="Q159" i="20"/>
  <c r="N74" i="25"/>
  <c r="N74" i="23"/>
  <c r="N75" i="23"/>
  <c r="K180" i="20"/>
  <c r="K178" i="20"/>
  <c r="K177" i="20"/>
  <c r="K179" i="20"/>
  <c r="K182" i="20"/>
  <c r="K181" i="20"/>
  <c r="M203" i="20"/>
  <c r="M206" i="20"/>
  <c r="M205" i="20"/>
  <c r="M204" i="20"/>
  <c r="M202" i="20"/>
  <c r="M201" i="20"/>
  <c r="Q75" i="24"/>
  <c r="Q74" i="24"/>
  <c r="O74" i="21"/>
  <c r="I178" i="20"/>
  <c r="I181" i="20"/>
  <c r="I180" i="20"/>
  <c r="I177" i="20"/>
  <c r="I182" i="20"/>
  <c r="I179" i="20"/>
  <c r="L52" i="11"/>
  <c r="L31" i="11" s="1"/>
  <c r="M51" i="11"/>
  <c r="M54" i="11"/>
  <c r="M55" i="11" s="1"/>
  <c r="L30" i="11"/>
  <c r="L122" i="11"/>
  <c r="L123" i="11" s="1"/>
  <c r="M28" i="11"/>
  <c r="L39" i="21" l="1"/>
  <c r="K124" i="21"/>
  <c r="K124" i="23"/>
  <c r="L39" i="23"/>
  <c r="K42" i="23"/>
  <c r="K40" i="23"/>
  <c r="K41" i="23" s="1"/>
  <c r="L42" i="21"/>
  <c r="L40" i="21"/>
  <c r="L41" i="21" s="1"/>
  <c r="O75" i="21"/>
  <c r="G158" i="20"/>
  <c r="G157" i="20"/>
  <c r="G156" i="20"/>
  <c r="G155" i="20"/>
  <c r="G154" i="20"/>
  <c r="G153" i="20"/>
  <c r="G104" i="20"/>
  <c r="G102" i="20"/>
  <c r="G101" i="20"/>
  <c r="G103" i="20"/>
  <c r="G100" i="20"/>
  <c r="G99" i="20"/>
  <c r="G185" i="20"/>
  <c r="G184" i="20"/>
  <c r="G187" i="20"/>
  <c r="G183" i="20"/>
  <c r="G188" i="20"/>
  <c r="G186" i="20"/>
  <c r="Q215" i="20"/>
  <c r="Q214" i="20"/>
  <c r="Q213" i="20"/>
  <c r="Q216" i="20"/>
  <c r="Q218" i="20"/>
  <c r="Q217" i="20"/>
  <c r="O204" i="20"/>
  <c r="O205" i="20"/>
  <c r="O201" i="20"/>
  <c r="O206" i="20"/>
  <c r="O202" i="20"/>
  <c r="O203" i="20"/>
  <c r="O75" i="26"/>
  <c r="O74" i="26"/>
  <c r="Q166" i="20"/>
  <c r="Q169" i="20"/>
  <c r="Q168" i="20"/>
  <c r="Q170" i="20"/>
  <c r="Q165" i="20"/>
  <c r="Q167" i="20"/>
  <c r="O74" i="25"/>
  <c r="O75" i="25"/>
  <c r="N75" i="25"/>
  <c r="M211" i="20"/>
  <c r="M212" i="20"/>
  <c r="M207" i="20"/>
  <c r="M210" i="20"/>
  <c r="M209" i="20"/>
  <c r="M208" i="20"/>
  <c r="R74" i="24"/>
  <c r="R75" i="24"/>
  <c r="K184" i="20"/>
  <c r="K183" i="20"/>
  <c r="K186" i="20"/>
  <c r="K188" i="20"/>
  <c r="K187" i="20"/>
  <c r="K185" i="20"/>
  <c r="O75" i="23"/>
  <c r="O74" i="23"/>
  <c r="T74" i="24"/>
  <c r="T75" i="24"/>
  <c r="I184" i="20"/>
  <c r="I183" i="20"/>
  <c r="I187" i="20"/>
  <c r="I186" i="20"/>
  <c r="I188" i="20"/>
  <c r="I185" i="20"/>
  <c r="P74" i="21"/>
  <c r="M52" i="11"/>
  <c r="M31" i="11" s="1"/>
  <c r="N51" i="11"/>
  <c r="N54" i="11"/>
  <c r="N55" i="11" s="1"/>
  <c r="M30" i="11"/>
  <c r="M122" i="11"/>
  <c r="M123" i="11" s="1"/>
  <c r="N28" i="11"/>
  <c r="M39" i="21" l="1"/>
  <c r="L124" i="21"/>
  <c r="L124" i="23"/>
  <c r="M39" i="23"/>
  <c r="L42" i="23"/>
  <c r="L40" i="23"/>
  <c r="L41" i="23" s="1"/>
  <c r="M42" i="21"/>
  <c r="M40" i="21"/>
  <c r="M41" i="21" s="1"/>
  <c r="P75" i="21"/>
  <c r="G162" i="20"/>
  <c r="G164" i="20"/>
  <c r="G159" i="20"/>
  <c r="G161" i="20"/>
  <c r="G163" i="20"/>
  <c r="G160" i="20"/>
  <c r="G109" i="20"/>
  <c r="G110" i="20"/>
  <c r="G107" i="20"/>
  <c r="G105" i="20"/>
  <c r="G106" i="20"/>
  <c r="G108" i="20"/>
  <c r="G194" i="20"/>
  <c r="G190" i="20"/>
  <c r="G193" i="20"/>
  <c r="G189" i="20"/>
  <c r="G192" i="20"/>
  <c r="G191" i="20"/>
  <c r="Q220" i="20"/>
  <c r="Q223" i="20"/>
  <c r="Q222" i="20"/>
  <c r="Q221" i="20"/>
  <c r="Q224" i="20"/>
  <c r="Q219" i="20"/>
  <c r="O212" i="20"/>
  <c r="O208" i="20"/>
  <c r="O209" i="20"/>
  <c r="O210" i="20"/>
  <c r="O211" i="20"/>
  <c r="O207" i="20"/>
  <c r="P75" i="26"/>
  <c r="P74" i="26"/>
  <c r="Q174" i="20"/>
  <c r="Q176" i="20"/>
  <c r="Q171" i="20"/>
  <c r="Q173" i="20"/>
  <c r="Q172" i="20"/>
  <c r="Q175" i="20"/>
  <c r="P75" i="25"/>
  <c r="P74" i="25"/>
  <c r="P74" i="23"/>
  <c r="P75" i="23"/>
  <c r="K192" i="20"/>
  <c r="K190" i="20"/>
  <c r="K189" i="20"/>
  <c r="K191" i="20"/>
  <c r="K194" i="20"/>
  <c r="K193" i="20"/>
  <c r="M214" i="20"/>
  <c r="M213" i="20"/>
  <c r="M215" i="20"/>
  <c r="M218" i="20"/>
  <c r="M217" i="20"/>
  <c r="M216" i="20"/>
  <c r="S74" i="24"/>
  <c r="S75" i="24"/>
  <c r="M219" i="20"/>
  <c r="U74" i="24"/>
  <c r="I189" i="20"/>
  <c r="I192" i="20"/>
  <c r="I194" i="20"/>
  <c r="I190" i="20"/>
  <c r="I191" i="20"/>
  <c r="I193" i="20"/>
  <c r="Q74" i="21"/>
  <c r="N52" i="11"/>
  <c r="N31" i="11" s="1"/>
  <c r="O51" i="11"/>
  <c r="O54" i="11"/>
  <c r="O55" i="11" s="1"/>
  <c r="N30" i="11"/>
  <c r="N122" i="11"/>
  <c r="N123" i="11" s="1"/>
  <c r="O28" i="11"/>
  <c r="N39" i="21" l="1"/>
  <c r="M124" i="21"/>
  <c r="M124" i="23"/>
  <c r="N39" i="23"/>
  <c r="M42" i="23"/>
  <c r="M40" i="23"/>
  <c r="M41" i="23" s="1"/>
  <c r="N42" i="21"/>
  <c r="N40" i="21"/>
  <c r="N41" i="21" s="1"/>
  <c r="Q75" i="21"/>
  <c r="G167" i="20"/>
  <c r="G166" i="20"/>
  <c r="G165" i="20"/>
  <c r="G168" i="20"/>
  <c r="G170" i="20"/>
  <c r="G169" i="20"/>
  <c r="G140" i="20"/>
  <c r="G114" i="20"/>
  <c r="G113" i="20"/>
  <c r="G116" i="20"/>
  <c r="G111" i="20"/>
  <c r="G115" i="20"/>
  <c r="G112" i="20"/>
  <c r="G199" i="20"/>
  <c r="G195" i="20"/>
  <c r="G198" i="20"/>
  <c r="G197" i="20"/>
  <c r="G200" i="20"/>
  <c r="G196" i="20"/>
  <c r="Q228" i="20"/>
  <c r="Q230" i="20"/>
  <c r="Q229" i="20"/>
  <c r="Q227" i="20"/>
  <c r="Q226" i="20"/>
  <c r="Q225" i="20"/>
  <c r="O216" i="20"/>
  <c r="O217" i="20"/>
  <c r="O213" i="20"/>
  <c r="O218" i="20"/>
  <c r="O214" i="20"/>
  <c r="O215" i="20"/>
  <c r="Q75" i="26"/>
  <c r="Q74" i="26"/>
  <c r="Q182" i="20"/>
  <c r="Q177" i="20"/>
  <c r="Q179" i="20"/>
  <c r="Q178" i="20"/>
  <c r="Q181" i="20"/>
  <c r="Q180" i="20"/>
  <c r="Q74" i="25"/>
  <c r="Q75" i="25"/>
  <c r="K196" i="20"/>
  <c r="K195" i="20"/>
  <c r="K198" i="20"/>
  <c r="K200" i="20"/>
  <c r="K199" i="20"/>
  <c r="K197" i="20"/>
  <c r="Q75" i="23"/>
  <c r="Q74" i="23"/>
  <c r="U75" i="24"/>
  <c r="V75" i="24"/>
  <c r="I198" i="20"/>
  <c r="I197" i="20"/>
  <c r="I196" i="20"/>
  <c r="I200" i="20"/>
  <c r="I199" i="20"/>
  <c r="I195" i="20"/>
  <c r="R74" i="21"/>
  <c r="G128" i="20"/>
  <c r="O52" i="11"/>
  <c r="O30" i="11"/>
  <c r="P54" i="11"/>
  <c r="P55" i="11" s="1"/>
  <c r="P51" i="11"/>
  <c r="O31" i="11"/>
  <c r="O122" i="11"/>
  <c r="O123" i="11" s="1"/>
  <c r="P28" i="11"/>
  <c r="O39" i="21" l="1"/>
  <c r="N124" i="21"/>
  <c r="N124" i="23"/>
  <c r="O39" i="23"/>
  <c r="N42" i="23"/>
  <c r="N40" i="23"/>
  <c r="N41" i="23" s="1"/>
  <c r="O42" i="21"/>
  <c r="O40" i="21"/>
  <c r="O41" i="21" s="1"/>
  <c r="Q51" i="11"/>
  <c r="G224" i="20"/>
  <c r="G223" i="20"/>
  <c r="G222" i="20"/>
  <c r="R75" i="21"/>
  <c r="G172" i="20"/>
  <c r="G175" i="20"/>
  <c r="G174" i="20"/>
  <c r="G176" i="20"/>
  <c r="G171" i="20"/>
  <c r="G173" i="20"/>
  <c r="G122" i="20"/>
  <c r="G121" i="20"/>
  <c r="G120" i="20"/>
  <c r="G119" i="20"/>
  <c r="G118" i="20"/>
  <c r="G117" i="20"/>
  <c r="G146" i="20"/>
  <c r="G142" i="20"/>
  <c r="G141" i="20"/>
  <c r="G143" i="20"/>
  <c r="G145" i="20"/>
  <c r="G144" i="20"/>
  <c r="G203" i="20"/>
  <c r="G202" i="20"/>
  <c r="G206" i="20"/>
  <c r="G205" i="20"/>
  <c r="G201" i="20"/>
  <c r="G204" i="20"/>
  <c r="Q236" i="20"/>
  <c r="Q231" i="20"/>
  <c r="Q232" i="20"/>
  <c r="Q235" i="20"/>
  <c r="Q234" i="20"/>
  <c r="Q233" i="20"/>
  <c r="Q185" i="20"/>
  <c r="Q184" i="20"/>
  <c r="Q187" i="20"/>
  <c r="Q186" i="20"/>
  <c r="Q188" i="20"/>
  <c r="Q183" i="20"/>
  <c r="O220" i="20"/>
  <c r="O219" i="20"/>
  <c r="R75" i="26"/>
  <c r="R74" i="26"/>
  <c r="R74" i="25"/>
  <c r="K203" i="20"/>
  <c r="K206" i="20"/>
  <c r="K205" i="20"/>
  <c r="K204" i="20"/>
  <c r="K202" i="20"/>
  <c r="K201" i="20"/>
  <c r="R74" i="23"/>
  <c r="R75" i="23"/>
  <c r="Q52" i="11"/>
  <c r="R54" i="11"/>
  <c r="R55" i="11" s="1"/>
  <c r="R51" i="11"/>
  <c r="G134" i="20"/>
  <c r="G130" i="20"/>
  <c r="G131" i="20"/>
  <c r="G132" i="20"/>
  <c r="G133" i="20"/>
  <c r="G129" i="20"/>
  <c r="I206" i="20"/>
  <c r="I204" i="20"/>
  <c r="I203" i="20"/>
  <c r="I201" i="20"/>
  <c r="I202" i="20"/>
  <c r="I205" i="20"/>
  <c r="S74" i="21"/>
  <c r="P52" i="11"/>
  <c r="P31" i="11" s="1"/>
  <c r="P30" i="11"/>
  <c r="Q54" i="11"/>
  <c r="P122" i="11"/>
  <c r="P123" i="11" s="1"/>
  <c r="Q28" i="11"/>
  <c r="P39" i="21" l="1"/>
  <c r="O124" i="21"/>
  <c r="G212" i="20" s="1"/>
  <c r="O124" i="23"/>
  <c r="P39" i="23"/>
  <c r="O42" i="23"/>
  <c r="O40" i="23"/>
  <c r="O41" i="23" s="1"/>
  <c r="G228" i="20"/>
  <c r="G229" i="20"/>
  <c r="G230" i="20"/>
  <c r="G236" i="20"/>
  <c r="G235" i="20"/>
  <c r="G233" i="20"/>
  <c r="G232" i="20"/>
  <c r="G231" i="20"/>
  <c r="G234" i="20"/>
  <c r="G226" i="20"/>
  <c r="G225" i="20"/>
  <c r="G227" i="20"/>
  <c r="S75" i="21"/>
  <c r="G127" i="20"/>
  <c r="G126" i="20"/>
  <c r="G123" i="20"/>
  <c r="G124" i="20"/>
  <c r="G125" i="20"/>
  <c r="G148" i="20"/>
  <c r="G147" i="20"/>
  <c r="G149" i="20"/>
  <c r="G151" i="20"/>
  <c r="G150" i="20"/>
  <c r="G208" i="20"/>
  <c r="G211" i="20"/>
  <c r="G207" i="20"/>
  <c r="G210" i="20"/>
  <c r="G209" i="20"/>
  <c r="Q239" i="20"/>
  <c r="Q238" i="20"/>
  <c r="Q237" i="20"/>
  <c r="Q240" i="20"/>
  <c r="Q242" i="20"/>
  <c r="Q241" i="20"/>
  <c r="Q190" i="20"/>
  <c r="Q193" i="20"/>
  <c r="Q192" i="20"/>
  <c r="Q194" i="20"/>
  <c r="Q189" i="20"/>
  <c r="Q191" i="20"/>
  <c r="S74" i="26"/>
  <c r="S74" i="25"/>
  <c r="S75" i="25"/>
  <c r="R75" i="25"/>
  <c r="V75" i="25"/>
  <c r="K212" i="20"/>
  <c r="K211" i="20"/>
  <c r="K209" i="20"/>
  <c r="K208" i="20"/>
  <c r="K207" i="20"/>
  <c r="K210" i="20"/>
  <c r="S75" i="23"/>
  <c r="S74" i="23"/>
  <c r="R52" i="11"/>
  <c r="R31" i="11" s="1"/>
  <c r="S54" i="11"/>
  <c r="S55" i="11" s="1"/>
  <c r="R30" i="11"/>
  <c r="S51" i="11"/>
  <c r="G138" i="20"/>
  <c r="G139" i="20"/>
  <c r="G135" i="20"/>
  <c r="G136" i="20"/>
  <c r="G137" i="20"/>
  <c r="I210" i="20"/>
  <c r="I207" i="20"/>
  <c r="I212" i="20"/>
  <c r="I211" i="20"/>
  <c r="I209" i="20"/>
  <c r="I208" i="20"/>
  <c r="Q55" i="11"/>
  <c r="Q31" i="11" s="1"/>
  <c r="Q30" i="11"/>
  <c r="Q122" i="11"/>
  <c r="Q123" i="11" s="1"/>
  <c r="R28" i="11"/>
  <c r="Q39" i="21" l="1"/>
  <c r="P124" i="21"/>
  <c r="T74" i="21"/>
  <c r="P42" i="21"/>
  <c r="P40" i="21"/>
  <c r="P41" i="21" s="1"/>
  <c r="T75" i="21" s="1"/>
  <c r="P124" i="23"/>
  <c r="Q39" i="23"/>
  <c r="P42" i="23"/>
  <c r="P40" i="23"/>
  <c r="P41" i="23" s="1"/>
  <c r="G239" i="20"/>
  <c r="G237" i="20"/>
  <c r="G238" i="20"/>
  <c r="K227" i="20"/>
  <c r="K229" i="20"/>
  <c r="K228" i="20"/>
  <c r="K230" i="20"/>
  <c r="Q244" i="20"/>
  <c r="Q247" i="20"/>
  <c r="Q246" i="20"/>
  <c r="Q245" i="20"/>
  <c r="Q248" i="20"/>
  <c r="Q243" i="20"/>
  <c r="S75" i="26"/>
  <c r="Q198" i="20"/>
  <c r="Q200" i="20"/>
  <c r="Q195" i="20"/>
  <c r="Q197" i="20"/>
  <c r="Q196" i="20"/>
  <c r="Q199" i="20"/>
  <c r="T74" i="26"/>
  <c r="T75" i="26"/>
  <c r="K215" i="20"/>
  <c r="K218" i="20"/>
  <c r="K217" i="20"/>
  <c r="K216" i="20"/>
  <c r="K214" i="20"/>
  <c r="K213" i="20"/>
  <c r="T74" i="23"/>
  <c r="S52" i="11"/>
  <c r="S31" i="11" s="1"/>
  <c r="S30" i="11"/>
  <c r="T54" i="11"/>
  <c r="T55" i="11" s="1"/>
  <c r="T51" i="11"/>
  <c r="R122" i="11"/>
  <c r="R123" i="11" s="1"/>
  <c r="S28" i="11"/>
  <c r="G218" i="20" l="1"/>
  <c r="G217" i="20"/>
  <c r="G216" i="20"/>
  <c r="G213" i="20"/>
  <c r="G215" i="20"/>
  <c r="G214" i="20"/>
  <c r="Q124" i="21"/>
  <c r="U74" i="21"/>
  <c r="Q42" i="21"/>
  <c r="Q40" i="21"/>
  <c r="Q41" i="21" s="1"/>
  <c r="Q124" i="23"/>
  <c r="Q42" i="23"/>
  <c r="Q40" i="23"/>
  <c r="Q41" i="23" s="1"/>
  <c r="V41" i="23" s="1"/>
  <c r="K233" i="20"/>
  <c r="K235" i="20"/>
  <c r="K231" i="20"/>
  <c r="K232" i="20"/>
  <c r="K234" i="20"/>
  <c r="K236" i="20"/>
  <c r="Q252" i="20"/>
  <c r="Q254" i="20"/>
  <c r="Q253" i="20"/>
  <c r="Q251" i="20"/>
  <c r="Q250" i="20"/>
  <c r="Q249" i="20"/>
  <c r="Q206" i="20"/>
  <c r="Q201" i="20"/>
  <c r="Q203" i="20"/>
  <c r="Q202" i="20"/>
  <c r="Q205" i="20"/>
  <c r="Q204" i="20"/>
  <c r="U74" i="26"/>
  <c r="U75" i="26"/>
  <c r="T75" i="23"/>
  <c r="K224" i="20"/>
  <c r="K223" i="20"/>
  <c r="K221" i="20"/>
  <c r="K220" i="20"/>
  <c r="K219" i="20"/>
  <c r="K222" i="20"/>
  <c r="U75" i="23"/>
  <c r="U74" i="23"/>
  <c r="T52" i="11"/>
  <c r="T30" i="11"/>
  <c r="U54" i="11"/>
  <c r="C51" i="11" s="1"/>
  <c r="S122" i="11"/>
  <c r="S123" i="11" s="1"/>
  <c r="T28" i="11"/>
  <c r="U75" i="21" l="1"/>
  <c r="V41" i="21"/>
  <c r="V75" i="21" s="1"/>
  <c r="G221" i="20"/>
  <c r="G219" i="20"/>
  <c r="G220" i="20"/>
  <c r="C30" i="11"/>
  <c r="H50" i="11"/>
  <c r="G50" i="11"/>
  <c r="I50" i="11"/>
  <c r="F50" i="11"/>
  <c r="E50" i="11"/>
  <c r="K237" i="20"/>
  <c r="K239" i="20"/>
  <c r="K238" i="20"/>
  <c r="Q255" i="20"/>
  <c r="Q256" i="20"/>
  <c r="Q258" i="20"/>
  <c r="Q257" i="20"/>
  <c r="Q259" i="20"/>
  <c r="Q209" i="20"/>
  <c r="Q208" i="20"/>
  <c r="Q211" i="20"/>
  <c r="Q210" i="20"/>
  <c r="Q207" i="20"/>
  <c r="V75" i="26"/>
  <c r="V75" i="23"/>
  <c r="K225" i="20"/>
  <c r="K226" i="20"/>
  <c r="E56" i="11"/>
  <c r="I56" i="11"/>
  <c r="M56" i="11"/>
  <c r="F56" i="11"/>
  <c r="J56" i="11"/>
  <c r="N56" i="11"/>
  <c r="R50" i="11"/>
  <c r="R53" i="11" s="1"/>
  <c r="R56" i="11"/>
  <c r="I53" i="11"/>
  <c r="T56" i="11"/>
  <c r="L50" i="11"/>
  <c r="L53" i="11" s="1"/>
  <c r="G53" i="11"/>
  <c r="D50" i="11"/>
  <c r="D53" i="11" s="1"/>
  <c r="D34" i="11" s="1"/>
  <c r="T50" i="11"/>
  <c r="J50" i="11"/>
  <c r="J53" i="11" s="1"/>
  <c r="J34" i="11" s="1"/>
  <c r="J36" i="11" s="1"/>
  <c r="F53" i="11"/>
  <c r="K50" i="11"/>
  <c r="K53" i="11" s="1"/>
  <c r="M50" i="11"/>
  <c r="M53" i="11" s="1"/>
  <c r="M34" i="11" s="1"/>
  <c r="M36" i="11" s="1"/>
  <c r="H53" i="11"/>
  <c r="S56" i="11"/>
  <c r="Q50" i="11"/>
  <c r="Q53" i="11" s="1"/>
  <c r="N50" i="11"/>
  <c r="N53" i="11" s="1"/>
  <c r="E53" i="11"/>
  <c r="G56" i="11"/>
  <c r="K56" i="11"/>
  <c r="O56" i="11"/>
  <c r="H56" i="11"/>
  <c r="L56" i="11"/>
  <c r="P50" i="11"/>
  <c r="P53" i="11" s="1"/>
  <c r="O50" i="11"/>
  <c r="O53" i="11" s="1"/>
  <c r="O34" i="11" s="1"/>
  <c r="O36" i="11" s="1"/>
  <c r="Q56" i="11"/>
  <c r="S50" i="11"/>
  <c r="S53" i="11" s="1"/>
  <c r="S34" i="11" s="1"/>
  <c r="S36" i="11" s="1"/>
  <c r="U56" i="11"/>
  <c r="U34" i="11" s="1"/>
  <c r="P56" i="11"/>
  <c r="U30" i="11"/>
  <c r="U55" i="11"/>
  <c r="U31" i="11" s="1"/>
  <c r="T31" i="11"/>
  <c r="C52" i="11"/>
  <c r="C31" i="11" s="1"/>
  <c r="D39" i="11" s="1"/>
  <c r="U28" i="11"/>
  <c r="U122" i="11" s="1"/>
  <c r="U123" i="11" s="1"/>
  <c r="T122" i="11"/>
  <c r="T123" i="11" s="1"/>
  <c r="D42" i="11" l="1"/>
  <c r="D124" i="11"/>
  <c r="E39" i="11"/>
  <c r="F39" i="11" s="1"/>
  <c r="G39" i="11" s="1"/>
  <c r="H39" i="11" s="1"/>
  <c r="I39" i="11" s="1"/>
  <c r="J39" i="11" s="1"/>
  <c r="V31" i="11"/>
  <c r="P34" i="11"/>
  <c r="P36" i="11" s="1"/>
  <c r="N34" i="11"/>
  <c r="N36" i="11" s="1"/>
  <c r="F34" i="11"/>
  <c r="F36" i="11" s="1"/>
  <c r="I34" i="11"/>
  <c r="I36" i="11" s="1"/>
  <c r="E34" i="11"/>
  <c r="E36" i="11" s="1"/>
  <c r="R34" i="11"/>
  <c r="R36" i="11" s="1"/>
  <c r="U36" i="11"/>
  <c r="Q34" i="11"/>
  <c r="Q36" i="11" s="1"/>
  <c r="H34" i="11"/>
  <c r="H36" i="11" s="1"/>
  <c r="K34" i="11"/>
  <c r="K36" i="11" s="1"/>
  <c r="V30" i="11"/>
  <c r="V44" i="11" s="1"/>
  <c r="W44" i="11" s="1"/>
  <c r="C36" i="11"/>
  <c r="T53" i="11"/>
  <c r="T34" i="11" s="1"/>
  <c r="T36" i="11" s="1"/>
  <c r="U50" i="11"/>
  <c r="G34" i="11"/>
  <c r="G36" i="11" s="1"/>
  <c r="D36" i="11"/>
  <c r="L34" i="11"/>
  <c r="L36" i="11" s="1"/>
  <c r="F42" i="11" l="1"/>
  <c r="F124" i="11"/>
  <c r="E42" i="11"/>
  <c r="E124" i="11"/>
  <c r="V34" i="11"/>
  <c r="V36" i="11" s="1"/>
  <c r="H74" i="11"/>
  <c r="D40" i="11"/>
  <c r="G42" i="11" l="1"/>
  <c r="G124" i="11"/>
  <c r="D41" i="11"/>
  <c r="H75" i="11" s="1"/>
  <c r="E40" i="11"/>
  <c r="I74" i="11"/>
  <c r="H42" i="11" l="1"/>
  <c r="H124" i="11"/>
  <c r="E41" i="11"/>
  <c r="I75" i="11" s="1"/>
  <c r="F40" i="11"/>
  <c r="J74" i="11"/>
  <c r="F41" i="11" l="1"/>
  <c r="J75" i="11" s="1"/>
  <c r="I42" i="11"/>
  <c r="I124" i="11"/>
  <c r="K74" i="11"/>
  <c r="G40" i="11"/>
  <c r="G41" i="11" l="1"/>
  <c r="K75" i="11" s="1"/>
  <c r="J42" i="11"/>
  <c r="J124" i="11"/>
  <c r="H40" i="11"/>
  <c r="L74" i="11"/>
  <c r="H41" i="11" l="1"/>
  <c r="L75" i="11" s="1"/>
  <c r="M74" i="11"/>
  <c r="I40" i="11"/>
  <c r="I41" i="11" l="1"/>
  <c r="M75" i="11" s="1"/>
  <c r="J40" i="11"/>
  <c r="N74" i="11"/>
  <c r="J41" i="11" l="1"/>
  <c r="N75" i="11" s="1"/>
  <c r="O74" i="11"/>
  <c r="K40" i="11"/>
  <c r="O75" i="11" s="1"/>
  <c r="L40" i="11" l="1"/>
  <c r="P75" i="11" s="1"/>
  <c r="P74" i="11"/>
  <c r="Q74" i="11" l="1"/>
  <c r="M40" i="11"/>
  <c r="Q75" i="11" s="1"/>
  <c r="N40" i="11" l="1"/>
  <c r="R75" i="11" s="1"/>
  <c r="R74" i="11"/>
  <c r="O40" i="11" l="1"/>
  <c r="S75" i="11" s="1"/>
  <c r="S74" i="11"/>
  <c r="T74" i="11" l="1"/>
  <c r="P40" i="11"/>
  <c r="T75" i="11" s="1"/>
  <c r="Q40" i="11" l="1"/>
  <c r="U75" i="11" s="1"/>
  <c r="U74" i="11"/>
  <c r="R40" i="11" l="1"/>
  <c r="S40" i="11" l="1"/>
  <c r="T40" i="11" l="1"/>
  <c r="E160" i="20" l="1"/>
  <c r="U160" i="20" s="1"/>
  <c r="V160" i="20" s="1"/>
  <c r="W160" i="20" s="1"/>
  <c r="U40" i="11"/>
  <c r="V41" i="11" s="1"/>
  <c r="V75" i="11" s="1"/>
  <c r="E162" i="20"/>
  <c r="U162" i="20" s="1"/>
  <c r="V162" i="20" s="1"/>
  <c r="W162" i="20" s="1"/>
  <c r="E163" i="20"/>
  <c r="U163" i="20" s="1"/>
  <c r="V163" i="20" s="1"/>
  <c r="W163" i="20" s="1"/>
  <c r="E161" i="20"/>
  <c r="U161" i="20" s="1"/>
  <c r="V161" i="20" s="1"/>
  <c r="W161" i="20" s="1"/>
  <c r="E164" i="20"/>
  <c r="U164" i="20" s="1"/>
  <c r="E159" i="20" l="1"/>
  <c r="U159" i="20" s="1"/>
  <c r="V159" i="20" s="1"/>
  <c r="W159" i="20" s="1"/>
  <c r="E165" i="20"/>
  <c r="U165" i="20" s="1"/>
  <c r="V165" i="20" s="1"/>
  <c r="W165" i="20" s="1"/>
  <c r="E446" i="20"/>
  <c r="U446" i="20" s="1"/>
  <c r="E55" i="20"/>
  <c r="U55" i="20" s="1"/>
  <c r="V55" i="20" s="1"/>
  <c r="E397" i="20"/>
  <c r="U397" i="20" s="1"/>
  <c r="V397" i="20" s="1"/>
  <c r="W397" i="20" s="1"/>
  <c r="E334" i="20"/>
  <c r="U334" i="20" s="1"/>
  <c r="V334" i="20" s="1"/>
  <c r="W334" i="20" s="1"/>
  <c r="E329" i="20"/>
  <c r="U329" i="20" s="1"/>
  <c r="V329" i="20" s="1"/>
  <c r="W329" i="20" s="1"/>
  <c r="E278" i="20"/>
  <c r="U278" i="20" s="1"/>
  <c r="E248" i="20"/>
  <c r="U248" i="20" s="1"/>
  <c r="E353" i="20"/>
  <c r="U353" i="20" s="1"/>
  <c r="V353" i="20" s="1"/>
  <c r="W353" i="20" s="1"/>
  <c r="E240" i="20"/>
  <c r="U240" i="20" s="1"/>
  <c r="V240" i="20" s="1"/>
  <c r="W240" i="20" s="1"/>
  <c r="E450" i="20"/>
  <c r="U450" i="20" s="1"/>
  <c r="V450" i="20" s="1"/>
  <c r="W450" i="20" s="1"/>
  <c r="E360" i="20"/>
  <c r="U360" i="20" s="1"/>
  <c r="V360" i="20" s="1"/>
  <c r="W360" i="20" s="1"/>
  <c r="E257" i="20"/>
  <c r="U257" i="20" s="1"/>
  <c r="V257" i="20" s="1"/>
  <c r="W257" i="20" s="1"/>
  <c r="E328" i="20"/>
  <c r="U328" i="20" s="1"/>
  <c r="V328" i="20" s="1"/>
  <c r="W328" i="20" s="1"/>
  <c r="E41" i="20"/>
  <c r="U41" i="20" s="1"/>
  <c r="V41" i="20" s="1"/>
  <c r="E421" i="20"/>
  <c r="U421" i="20" s="1"/>
  <c r="V421" i="20" s="1"/>
  <c r="W421" i="20" s="1"/>
  <c r="E227" i="20"/>
  <c r="U227" i="20" s="1"/>
  <c r="V227" i="20" s="1"/>
  <c r="W227" i="20" s="1"/>
  <c r="E475" i="20"/>
  <c r="U475" i="20" s="1"/>
  <c r="V475" i="20" s="1"/>
  <c r="W475" i="20" s="1"/>
  <c r="E218" i="20"/>
  <c r="U218" i="20" s="1"/>
  <c r="E425" i="20"/>
  <c r="U425" i="20" s="1"/>
  <c r="V425" i="20" s="1"/>
  <c r="W425" i="20" s="1"/>
  <c r="E319" i="20"/>
  <c r="U319" i="20" s="1"/>
  <c r="V319" i="20" s="1"/>
  <c r="W319" i="20" s="1"/>
  <c r="E229" i="20"/>
  <c r="U229" i="20" s="1"/>
  <c r="V229" i="20" s="1"/>
  <c r="W229" i="20" s="1"/>
  <c r="E12" i="20"/>
  <c r="U12" i="20" s="1"/>
  <c r="V12" i="20" s="1"/>
  <c r="E237" i="20"/>
  <c r="U237" i="20" s="1"/>
  <c r="V237" i="20" s="1"/>
  <c r="W237" i="20" s="1"/>
  <c r="E325" i="20"/>
  <c r="U325" i="20" s="1"/>
  <c r="V325" i="20" s="1"/>
  <c r="W325" i="20" s="1"/>
  <c r="E281" i="20"/>
  <c r="U281" i="20" s="1"/>
  <c r="V281" i="20" s="1"/>
  <c r="W281" i="20" s="1"/>
  <c r="E15" i="20"/>
  <c r="U15" i="20" s="1"/>
  <c r="V15" i="20" s="1"/>
  <c r="E367" i="20"/>
  <c r="U367" i="20" s="1"/>
  <c r="V367" i="20" s="1"/>
  <c r="W367" i="20" s="1"/>
  <c r="E20" i="20"/>
  <c r="U20" i="20" s="1"/>
  <c r="E293" i="20"/>
  <c r="U293" i="20" s="1"/>
  <c r="V293" i="20" s="1"/>
  <c r="W293" i="20" s="1"/>
  <c r="E274" i="20"/>
  <c r="U274" i="20" s="1"/>
  <c r="V274" i="20" s="1"/>
  <c r="W274" i="20" s="1"/>
  <c r="E391" i="20"/>
  <c r="U391" i="20" s="1"/>
  <c r="V391" i="20" s="1"/>
  <c r="W391" i="20" s="1"/>
  <c r="E289" i="20"/>
  <c r="U289" i="20" s="1"/>
  <c r="V289" i="20" s="1"/>
  <c r="W289" i="20" s="1"/>
  <c r="E434" i="20"/>
  <c r="U434" i="20" s="1"/>
  <c r="E481" i="20"/>
  <c r="U481" i="20" s="1"/>
  <c r="V481" i="20" s="1"/>
  <c r="W481" i="20" s="1"/>
  <c r="E16" i="20"/>
  <c r="U16" i="20" s="1"/>
  <c r="V16" i="20" s="1"/>
  <c r="E258" i="20"/>
  <c r="U258" i="20" s="1"/>
  <c r="V258" i="20" s="1"/>
  <c r="W258" i="20" s="1"/>
  <c r="E348" i="20"/>
  <c r="U348" i="20" s="1"/>
  <c r="V348" i="20" s="1"/>
  <c r="W348" i="20" s="1"/>
  <c r="E472" i="20"/>
  <c r="U472" i="20" s="1"/>
  <c r="V472" i="20" s="1"/>
  <c r="W472" i="20" s="1"/>
  <c r="E482" i="20"/>
  <c r="U482" i="20" s="1"/>
  <c r="E378" i="20"/>
  <c r="U378" i="20" s="1"/>
  <c r="V378" i="20" s="1"/>
  <c r="W378" i="20" s="1"/>
  <c r="E35" i="20"/>
  <c r="U35" i="20" s="1"/>
  <c r="V35" i="20" s="1"/>
  <c r="E250" i="20"/>
  <c r="U250" i="20" s="1"/>
  <c r="V250" i="20" s="1"/>
  <c r="W250" i="20" s="1"/>
  <c r="E266" i="20"/>
  <c r="U266" i="20" s="1"/>
  <c r="E455" i="20"/>
  <c r="U455" i="20" s="1"/>
  <c r="V455" i="20" s="1"/>
  <c r="W455" i="20" s="1"/>
  <c r="E7" i="20"/>
  <c r="U7" i="20" s="1"/>
  <c r="V7" i="20" s="1"/>
  <c r="E366" i="20"/>
  <c r="U366" i="20" s="1"/>
  <c r="V366" i="20" s="1"/>
  <c r="W366" i="20" s="1"/>
  <c r="E10" i="20"/>
  <c r="U10" i="20" s="1"/>
  <c r="V10" i="20" s="1"/>
  <c r="E381" i="20"/>
  <c r="U381" i="20" s="1"/>
  <c r="V381" i="20" s="1"/>
  <c r="W381" i="20" s="1"/>
  <c r="E300" i="20"/>
  <c r="U300" i="20" s="1"/>
  <c r="V300" i="20" s="1"/>
  <c r="W300" i="20" s="1"/>
  <c r="E219" i="20"/>
  <c r="U219" i="20" s="1"/>
  <c r="V219" i="20" s="1"/>
  <c r="W219" i="20" s="1"/>
  <c r="E476" i="20"/>
  <c r="U476" i="20" s="1"/>
  <c r="E235" i="20"/>
  <c r="U235" i="20" s="1"/>
  <c r="V235" i="20" s="1"/>
  <c r="W235" i="20" s="1"/>
  <c r="E406" i="20"/>
  <c r="U406" i="20" s="1"/>
  <c r="V406" i="20" s="1"/>
  <c r="W406" i="20" s="1"/>
  <c r="E480" i="20"/>
  <c r="U480" i="20" s="1"/>
  <c r="V480" i="20" s="1"/>
  <c r="W480" i="20" s="1"/>
  <c r="E470" i="20"/>
  <c r="U470" i="20" s="1"/>
  <c r="E380" i="20"/>
  <c r="U380" i="20" s="1"/>
  <c r="E310" i="20"/>
  <c r="U310" i="20" s="1"/>
  <c r="V310" i="20" s="1"/>
  <c r="W310" i="20" s="1"/>
  <c r="E233" i="20"/>
  <c r="U233" i="20" s="1"/>
  <c r="V233" i="20" s="1"/>
  <c r="W233" i="20" s="1"/>
  <c r="E399" i="20"/>
  <c r="U399" i="20" s="1"/>
  <c r="V399" i="20" s="1"/>
  <c r="W399" i="20" s="1"/>
  <c r="E429" i="20"/>
  <c r="U429" i="20" s="1"/>
  <c r="V429" i="20" s="1"/>
  <c r="W429" i="20" s="1"/>
  <c r="E30" i="20"/>
  <c r="U30" i="20" s="1"/>
  <c r="V30" i="20" s="1"/>
  <c r="E440" i="20"/>
  <c r="U440" i="20" s="1"/>
  <c r="E387" i="20"/>
  <c r="U387" i="20" s="1"/>
  <c r="V387" i="20" s="1"/>
  <c r="W387" i="20" s="1"/>
  <c r="E230" i="20"/>
  <c r="U230" i="20" s="1"/>
  <c r="E441" i="20"/>
  <c r="U441" i="20" s="1"/>
  <c r="V441" i="20" s="1"/>
  <c r="W441" i="20" s="1"/>
  <c r="E331" i="20"/>
  <c r="U331" i="20" s="1"/>
  <c r="V331" i="20" s="1"/>
  <c r="W331" i="20" s="1"/>
  <c r="E307" i="20"/>
  <c r="U307" i="20" s="1"/>
  <c r="V307" i="20" s="1"/>
  <c r="W307" i="20" s="1"/>
  <c r="E263" i="20"/>
  <c r="U263" i="20" s="1"/>
  <c r="V263" i="20" s="1"/>
  <c r="W263" i="20" s="1"/>
  <c r="E275" i="20"/>
  <c r="U275" i="20" s="1"/>
  <c r="V275" i="20" s="1"/>
  <c r="W275" i="20" s="1"/>
  <c r="E463" i="20"/>
  <c r="U463" i="20" s="1"/>
  <c r="V463" i="20" s="1"/>
  <c r="W463" i="20" s="1"/>
  <c r="E383" i="20"/>
  <c r="U383" i="20" s="1"/>
  <c r="V383" i="20" s="1"/>
  <c r="W383" i="20" s="1"/>
  <c r="E284" i="20"/>
  <c r="U284" i="20" s="1"/>
  <c r="E442" i="20"/>
  <c r="U442" i="20" s="1"/>
  <c r="V442" i="20" s="1"/>
  <c r="W442" i="20" s="1"/>
  <c r="E17" i="20"/>
  <c r="U17" i="20" s="1"/>
  <c r="V17" i="20" s="1"/>
  <c r="E395" i="20"/>
  <c r="U395" i="20" s="1"/>
  <c r="V395" i="20" s="1"/>
  <c r="W395" i="20" s="1"/>
  <c r="E333" i="20"/>
  <c r="U333" i="20" s="1"/>
  <c r="V333" i="20" s="1"/>
  <c r="W333" i="20" s="1"/>
  <c r="E467" i="20"/>
  <c r="U467" i="20" s="1"/>
  <c r="V467" i="20" s="1"/>
  <c r="W467" i="20" s="1"/>
  <c r="E368" i="20"/>
  <c r="U368" i="20" s="1"/>
  <c r="E265" i="20"/>
  <c r="U265" i="20" s="1"/>
  <c r="V265" i="20" s="1"/>
  <c r="W265" i="20" s="1"/>
  <c r="E477" i="20"/>
  <c r="U477" i="20" s="1"/>
  <c r="V477" i="20" s="1"/>
  <c r="W477" i="20" s="1"/>
  <c r="E338" i="20"/>
  <c r="U338" i="20" s="1"/>
  <c r="E54" i="20"/>
  <c r="U54" i="20" s="1"/>
  <c r="V54" i="20" s="1"/>
  <c r="E53" i="20"/>
  <c r="U53" i="20" s="1"/>
  <c r="V53" i="20" s="1"/>
  <c r="E245" i="20"/>
  <c r="U245" i="20" s="1"/>
  <c r="V245" i="20" s="1"/>
  <c r="W245" i="20" s="1"/>
  <c r="E465" i="20"/>
  <c r="U465" i="20" s="1"/>
  <c r="V465" i="20" s="1"/>
  <c r="W465" i="20" s="1"/>
  <c r="E330" i="20"/>
  <c r="U330" i="20" s="1"/>
  <c r="V330" i="20" s="1"/>
  <c r="W330" i="20" s="1"/>
  <c r="E372" i="20"/>
  <c r="U372" i="20" s="1"/>
  <c r="V372" i="20" s="1"/>
  <c r="W372" i="20" s="1"/>
  <c r="E37" i="20"/>
  <c r="U37" i="20" s="1"/>
  <c r="V37" i="20" s="1"/>
  <c r="E388" i="20"/>
  <c r="U388" i="20" s="1"/>
  <c r="V388" i="20" s="1"/>
  <c r="W388" i="20" s="1"/>
  <c r="E256" i="20"/>
  <c r="U256" i="20" s="1"/>
  <c r="V256" i="20" s="1"/>
  <c r="W256" i="20" s="1"/>
  <c r="E260" i="20"/>
  <c r="U260" i="20" s="1"/>
  <c r="E270" i="20"/>
  <c r="U270" i="20" s="1"/>
  <c r="V270" i="20" s="1"/>
  <c r="W270" i="20" s="1"/>
  <c r="E286" i="20"/>
  <c r="U286" i="20" s="1"/>
  <c r="V286" i="20" s="1"/>
  <c r="W286" i="20" s="1"/>
  <c r="E458" i="20"/>
  <c r="U458" i="20" s="1"/>
  <c r="E40" i="20"/>
  <c r="U40" i="20" s="1"/>
  <c r="V40" i="20" s="1"/>
  <c r="E238" i="20"/>
  <c r="U238" i="20" s="1"/>
  <c r="V238" i="20" s="1"/>
  <c r="W238" i="20" s="1"/>
  <c r="E346" i="20"/>
  <c r="U346" i="20" s="1"/>
  <c r="V346" i="20" s="1"/>
  <c r="W346" i="20" s="1"/>
  <c r="E262" i="20"/>
  <c r="U262" i="20" s="1"/>
  <c r="V262" i="20" s="1"/>
  <c r="W262" i="20" s="1"/>
  <c r="E448" i="20"/>
  <c r="U448" i="20" s="1"/>
  <c r="V448" i="20" s="1"/>
  <c r="W448" i="20" s="1"/>
  <c r="E384" i="20"/>
  <c r="U384" i="20" s="1"/>
  <c r="V384" i="20" s="1"/>
  <c r="W384" i="20" s="1"/>
  <c r="E375" i="20"/>
  <c r="U375" i="20" s="1"/>
  <c r="V375" i="20" s="1"/>
  <c r="W375" i="20" s="1"/>
  <c r="E392" i="20"/>
  <c r="U392" i="20" s="1"/>
  <c r="E408" i="20"/>
  <c r="U408" i="20" s="1"/>
  <c r="V408" i="20" s="1"/>
  <c r="W408" i="20" s="1"/>
  <c r="E443" i="20"/>
  <c r="U443" i="20" s="1"/>
  <c r="V443" i="20" s="1"/>
  <c r="W443" i="20" s="1"/>
  <c r="E365" i="20"/>
  <c r="U365" i="20" s="1"/>
  <c r="V365" i="20" s="1"/>
  <c r="W365" i="20" s="1"/>
  <c r="E295" i="20"/>
  <c r="U295" i="20" s="1"/>
  <c r="V295" i="20" s="1"/>
  <c r="W295" i="20" s="1"/>
  <c r="E24" i="20"/>
  <c r="U24" i="20" s="1"/>
  <c r="V24" i="20" s="1"/>
  <c r="E311" i="20"/>
  <c r="U311" i="20" s="1"/>
  <c r="V311" i="20" s="1"/>
  <c r="W311" i="20" s="1"/>
  <c r="E226" i="20"/>
  <c r="U226" i="20" s="1"/>
  <c r="V226" i="20" s="1"/>
  <c r="W226" i="20" s="1"/>
  <c r="E239" i="20"/>
  <c r="U239" i="20" s="1"/>
  <c r="V239" i="20" s="1"/>
  <c r="W239" i="20" s="1"/>
  <c r="E413" i="20"/>
  <c r="U413" i="20" s="1"/>
  <c r="V413" i="20" s="1"/>
  <c r="W413" i="20" s="1"/>
  <c r="E255" i="20"/>
  <c r="U255" i="20" s="1"/>
  <c r="V255" i="20" s="1"/>
  <c r="W255" i="20" s="1"/>
  <c r="E433" i="20"/>
  <c r="U433" i="20" s="1"/>
  <c r="V433" i="20" s="1"/>
  <c r="W433" i="20" s="1"/>
  <c r="E47" i="20"/>
  <c r="U47" i="20" s="1"/>
  <c r="V47" i="20" s="1"/>
  <c r="E317" i="20"/>
  <c r="U317" i="20" s="1"/>
  <c r="V317" i="20" s="1"/>
  <c r="W317" i="20" s="1"/>
  <c r="E22" i="20"/>
  <c r="U22" i="20" s="1"/>
  <c r="V22" i="20" s="1"/>
  <c r="E220" i="20"/>
  <c r="U220" i="20" s="1"/>
  <c r="V220" i="20" s="1"/>
  <c r="W220" i="20" s="1"/>
  <c r="E407" i="20"/>
  <c r="U407" i="20" s="1"/>
  <c r="V407" i="20" s="1"/>
  <c r="W407" i="20" s="1"/>
  <c r="E431" i="20"/>
  <c r="U431" i="20" s="1"/>
  <c r="V431" i="20" s="1"/>
  <c r="W431" i="20" s="1"/>
  <c r="E382" i="20"/>
  <c r="U382" i="20" s="1"/>
  <c r="V382" i="20" s="1"/>
  <c r="W382" i="20" s="1"/>
  <c r="E44" i="20"/>
  <c r="U44" i="20" s="1"/>
  <c r="E276" i="20"/>
  <c r="U276" i="20" s="1"/>
  <c r="V276" i="20" s="1"/>
  <c r="W276" i="20" s="1"/>
  <c r="E23" i="20"/>
  <c r="U23" i="20" s="1"/>
  <c r="V23" i="20" s="1"/>
  <c r="E362" i="20"/>
  <c r="U362" i="20" s="1"/>
  <c r="E342" i="20"/>
  <c r="U342" i="20" s="1"/>
  <c r="V342" i="20" s="1"/>
  <c r="W342" i="20" s="1"/>
  <c r="E288" i="20"/>
  <c r="U288" i="20" s="1"/>
  <c r="V288" i="20" s="1"/>
  <c r="W288" i="20" s="1"/>
  <c r="E426" i="20"/>
  <c r="U426" i="20" s="1"/>
  <c r="V426" i="20" s="1"/>
  <c r="W426" i="20" s="1"/>
  <c r="E45" i="20"/>
  <c r="U45" i="20" s="1"/>
  <c r="V45" i="20" s="1"/>
  <c r="E4" i="20"/>
  <c r="U4" i="20" s="1"/>
  <c r="V4" i="20" s="1"/>
  <c r="E349" i="20"/>
  <c r="U349" i="20" s="1"/>
  <c r="V349" i="20" s="1"/>
  <c r="W349" i="20" s="1"/>
  <c r="E462" i="20"/>
  <c r="U462" i="20" s="1"/>
  <c r="V462" i="20" s="1"/>
  <c r="W462" i="20" s="1"/>
  <c r="E396" i="20"/>
  <c r="U396" i="20" s="1"/>
  <c r="V396" i="20" s="1"/>
  <c r="W396" i="20" s="1"/>
  <c r="E34" i="20"/>
  <c r="U34" i="20" s="1"/>
  <c r="V34" i="20" s="1"/>
  <c r="E337" i="20"/>
  <c r="U337" i="20" s="1"/>
  <c r="V337" i="20" s="1"/>
  <c r="W337" i="20" s="1"/>
  <c r="E242" i="20"/>
  <c r="U242" i="20" s="1"/>
  <c r="E303" i="20"/>
  <c r="U303" i="20" s="1"/>
  <c r="V303" i="20" s="1"/>
  <c r="W303" i="20" s="1"/>
  <c r="E297" i="20"/>
  <c r="U297" i="20" s="1"/>
  <c r="V297" i="20" s="1"/>
  <c r="W297" i="20" s="1"/>
  <c r="E403" i="20"/>
  <c r="U403" i="20" s="1"/>
  <c r="V403" i="20" s="1"/>
  <c r="W403" i="20" s="1"/>
  <c r="E444" i="20"/>
  <c r="U444" i="20" s="1"/>
  <c r="V444" i="20" s="1"/>
  <c r="W444" i="20" s="1"/>
  <c r="E424" i="20"/>
  <c r="U424" i="20" s="1"/>
  <c r="V424" i="20" s="1"/>
  <c r="W424" i="20" s="1"/>
  <c r="E473" i="20"/>
  <c r="U473" i="20" s="1"/>
  <c r="V473" i="20" s="1"/>
  <c r="W473" i="20" s="1"/>
  <c r="E454" i="20"/>
  <c r="U454" i="20" s="1"/>
  <c r="V454" i="20" s="1"/>
  <c r="W454" i="20" s="1"/>
  <c r="E13" i="20"/>
  <c r="U13" i="20" s="1"/>
  <c r="V13" i="20" s="1"/>
  <c r="E324" i="20"/>
  <c r="U324" i="20" s="1"/>
  <c r="V324" i="20" s="1"/>
  <c r="W324" i="20" s="1"/>
  <c r="E364" i="20"/>
  <c r="U364" i="20" s="1"/>
  <c r="V364" i="20" s="1"/>
  <c r="W364" i="20" s="1"/>
  <c r="E267" i="20"/>
  <c r="U267" i="20" s="1"/>
  <c r="V267" i="20" s="1"/>
  <c r="W267" i="20" s="1"/>
  <c r="E290" i="20"/>
  <c r="U290" i="20" s="1"/>
  <c r="E36" i="20"/>
  <c r="U36" i="20" s="1"/>
  <c r="V36" i="20" s="1"/>
  <c r="E246" i="20"/>
  <c r="U246" i="20" s="1"/>
  <c r="V246" i="20" s="1"/>
  <c r="W246" i="20" s="1"/>
  <c r="E347" i="20"/>
  <c r="U347" i="20" s="1"/>
  <c r="V347" i="20" s="1"/>
  <c r="W347" i="20" s="1"/>
  <c r="E449" i="20"/>
  <c r="U449" i="20" s="1"/>
  <c r="V449" i="20" s="1"/>
  <c r="W449" i="20" s="1"/>
  <c r="E464" i="20"/>
  <c r="U464" i="20" s="1"/>
  <c r="E29" i="20"/>
  <c r="U29" i="20" s="1"/>
  <c r="V29" i="20" s="1"/>
  <c r="E336" i="20"/>
  <c r="U336" i="20" s="1"/>
  <c r="V336" i="20" s="1"/>
  <c r="W336" i="20" s="1"/>
  <c r="E232" i="20"/>
  <c r="U232" i="20" s="1"/>
  <c r="V232" i="20" s="1"/>
  <c r="W232" i="20" s="1"/>
  <c r="E351" i="20"/>
  <c r="U351" i="20" s="1"/>
  <c r="V351" i="20" s="1"/>
  <c r="W351" i="20" s="1"/>
  <c r="E321" i="20"/>
  <c r="U321" i="20" s="1"/>
  <c r="V321" i="20" s="1"/>
  <c r="W321" i="20" s="1"/>
  <c r="E398" i="20"/>
  <c r="U398" i="20" s="1"/>
  <c r="E438" i="20"/>
  <c r="U438" i="20" s="1"/>
  <c r="V438" i="20" s="1"/>
  <c r="W438" i="20" s="1"/>
  <c r="E416" i="20"/>
  <c r="U416" i="20" s="1"/>
  <c r="E456" i="20"/>
  <c r="U456" i="20" s="1"/>
  <c r="V456" i="20" s="1"/>
  <c r="W456" i="20" s="1"/>
  <c r="E62" i="20"/>
  <c r="U62" i="20" s="1"/>
  <c r="E61" i="20"/>
  <c r="U61" i="20" s="1"/>
  <c r="V61" i="20" s="1"/>
  <c r="E58" i="20"/>
  <c r="U58" i="20" s="1"/>
  <c r="V58" i="20" s="1"/>
  <c r="E376" i="20"/>
  <c r="U376" i="20" s="1"/>
  <c r="V376" i="20" s="1"/>
  <c r="W376" i="20" s="1"/>
  <c r="E411" i="20"/>
  <c r="U411" i="20" s="1"/>
  <c r="V411" i="20" s="1"/>
  <c r="W411" i="20" s="1"/>
  <c r="E221" i="20"/>
  <c r="U221" i="20" s="1"/>
  <c r="V221" i="20" s="1"/>
  <c r="W221" i="20" s="1"/>
  <c r="E459" i="20"/>
  <c r="U459" i="20" s="1"/>
  <c r="V459" i="20" s="1"/>
  <c r="W459" i="20" s="1"/>
  <c r="E327" i="20"/>
  <c r="U327" i="20" s="1"/>
  <c r="V327" i="20" s="1"/>
  <c r="W327" i="20" s="1"/>
  <c r="E269" i="20"/>
  <c r="U269" i="20" s="1"/>
  <c r="V269" i="20" s="1"/>
  <c r="W269" i="20" s="1"/>
  <c r="E52" i="20"/>
  <c r="U52" i="20" s="1"/>
  <c r="V52" i="20" s="1"/>
  <c r="E51" i="20"/>
  <c r="U51" i="20" s="1"/>
  <c r="V51" i="20" s="1"/>
  <c r="E21" i="20"/>
  <c r="U21" i="20" s="1"/>
  <c r="V21" i="20" s="1"/>
  <c r="E214" i="20"/>
  <c r="U214" i="20" s="1"/>
  <c r="V214" i="20" s="1"/>
  <c r="W214" i="20" s="1"/>
  <c r="E294" i="20"/>
  <c r="U294" i="20" s="1"/>
  <c r="V294" i="20" s="1"/>
  <c r="W294" i="20" s="1"/>
  <c r="E415" i="20"/>
  <c r="U415" i="20" s="1"/>
  <c r="V415" i="20" s="1"/>
  <c r="W415" i="20" s="1"/>
  <c r="E428" i="20"/>
  <c r="U428" i="20" s="1"/>
  <c r="E322" i="20"/>
  <c r="U322" i="20" s="1"/>
  <c r="V322" i="20" s="1"/>
  <c r="W322" i="20" s="1"/>
  <c r="E420" i="20"/>
  <c r="U420" i="20" s="1"/>
  <c r="V420" i="20" s="1"/>
  <c r="W420" i="20" s="1"/>
  <c r="E345" i="20"/>
  <c r="U345" i="20" s="1"/>
  <c r="V345" i="20" s="1"/>
  <c r="W345" i="20" s="1"/>
  <c r="E243" i="20"/>
  <c r="U243" i="20" s="1"/>
  <c r="V243" i="20" s="1"/>
  <c r="W243" i="20" s="1"/>
  <c r="E5" i="20"/>
  <c r="U5" i="20" s="1"/>
  <c r="V5" i="20" s="1"/>
  <c r="E373" i="20"/>
  <c r="U373" i="20" s="1"/>
  <c r="V373" i="20" s="1"/>
  <c r="W373" i="20" s="1"/>
  <c r="E340" i="20"/>
  <c r="U340" i="20" s="1"/>
  <c r="V340" i="20" s="1"/>
  <c r="W340" i="20" s="1"/>
  <c r="E461" i="20"/>
  <c r="U461" i="20" s="1"/>
  <c r="V461" i="20" s="1"/>
  <c r="W461" i="20" s="1"/>
  <c r="E394" i="20"/>
  <c r="U394" i="20" s="1"/>
  <c r="V394" i="20" s="1"/>
  <c r="W394" i="20" s="1"/>
  <c r="E31" i="20"/>
  <c r="U31" i="20" s="1"/>
  <c r="V31" i="20" s="1"/>
  <c r="E356" i="20"/>
  <c r="U356" i="20" s="1"/>
  <c r="E432" i="20"/>
  <c r="U432" i="20" s="1"/>
  <c r="V432" i="20" s="1"/>
  <c r="W432" i="20" s="1"/>
  <c r="E358" i="20"/>
  <c r="U358" i="20" s="1"/>
  <c r="V358" i="20" s="1"/>
  <c r="W358" i="20" s="1"/>
  <c r="E377" i="20"/>
  <c r="U377" i="20" s="1"/>
  <c r="V377" i="20" s="1"/>
  <c r="W377" i="20" s="1"/>
  <c r="E223" i="20"/>
  <c r="U223" i="20" s="1"/>
  <c r="V223" i="20" s="1"/>
  <c r="W223" i="20" s="1"/>
  <c r="E9" i="20"/>
  <c r="U9" i="20" s="1"/>
  <c r="V9" i="20" s="1"/>
  <c r="E316" i="20"/>
  <c r="U316" i="20" s="1"/>
  <c r="V316" i="20" s="1"/>
  <c r="W316" i="20" s="1"/>
  <c r="E414" i="20"/>
  <c r="U414" i="20" s="1"/>
  <c r="V414" i="20" s="1"/>
  <c r="W414" i="20" s="1"/>
  <c r="E32" i="20"/>
  <c r="U32" i="20" s="1"/>
  <c r="E14" i="20"/>
  <c r="U14" i="20" s="1"/>
  <c r="E296" i="20"/>
  <c r="U296" i="20" s="1"/>
  <c r="E350" i="20"/>
  <c r="U350" i="20" s="1"/>
  <c r="E225" i="20"/>
  <c r="U225" i="20" s="1"/>
  <c r="V225" i="20" s="1"/>
  <c r="W225" i="20" s="1"/>
  <c r="E393" i="20"/>
  <c r="U393" i="20" s="1"/>
  <c r="V393" i="20" s="1"/>
  <c r="W393" i="20" s="1"/>
  <c r="E241" i="20"/>
  <c r="U241" i="20" s="1"/>
  <c r="V241" i="20" s="1"/>
  <c r="W241" i="20" s="1"/>
  <c r="E479" i="20"/>
  <c r="U479" i="20" s="1"/>
  <c r="V479" i="20" s="1"/>
  <c r="W479" i="20" s="1"/>
  <c r="E50" i="20"/>
  <c r="U50" i="20" s="1"/>
  <c r="E352" i="20"/>
  <c r="U352" i="20" s="1"/>
  <c r="V352" i="20" s="1"/>
  <c r="W352" i="20" s="1"/>
  <c r="E355" i="20"/>
  <c r="U355" i="20" s="1"/>
  <c r="V355" i="20" s="1"/>
  <c r="W355" i="20" s="1"/>
  <c r="E417" i="20"/>
  <c r="U417" i="20" s="1"/>
  <c r="V417" i="20" s="1"/>
  <c r="W417" i="20" s="1"/>
  <c r="E224" i="20"/>
  <c r="U224" i="20" s="1"/>
  <c r="E474" i="20"/>
  <c r="U474" i="20" s="1"/>
  <c r="V474" i="20" s="1"/>
  <c r="W474" i="20" s="1"/>
  <c r="E323" i="20"/>
  <c r="U323" i="20" s="1"/>
  <c r="V323" i="20" s="1"/>
  <c r="W323" i="20" s="1"/>
  <c r="E302" i="20"/>
  <c r="U302" i="20" s="1"/>
  <c r="E254" i="20"/>
  <c r="U254" i="20" s="1"/>
  <c r="E282" i="20"/>
  <c r="U282" i="20" s="1"/>
  <c r="V282" i="20" s="1"/>
  <c r="W282" i="20" s="1"/>
  <c r="E11" i="20"/>
  <c r="U11" i="20" s="1"/>
  <c r="V11" i="20" s="1"/>
  <c r="E320" i="20"/>
  <c r="U320" i="20" s="1"/>
  <c r="E386" i="20"/>
  <c r="U386" i="20" s="1"/>
  <c r="E6" i="20"/>
  <c r="U6" i="20" s="1"/>
  <c r="V6" i="20" s="1"/>
  <c r="E291" i="20"/>
  <c r="U291" i="20" s="1"/>
  <c r="V291" i="20" s="1"/>
  <c r="W291" i="20" s="1"/>
  <c r="E268" i="20"/>
  <c r="U268" i="20" s="1"/>
  <c r="V268" i="20" s="1"/>
  <c r="W268" i="20" s="1"/>
  <c r="E283" i="20"/>
  <c r="U283" i="20" s="1"/>
  <c r="V283" i="20" s="1"/>
  <c r="W283" i="20" s="1"/>
  <c r="E280" i="20"/>
  <c r="U280" i="20" s="1"/>
  <c r="V280" i="20" s="1"/>
  <c r="W280" i="20" s="1"/>
  <c r="E422" i="20"/>
  <c r="U422" i="20" s="1"/>
  <c r="E468" i="20"/>
  <c r="U468" i="20" s="1"/>
  <c r="V468" i="20" s="1"/>
  <c r="W468" i="20" s="1"/>
  <c r="E436" i="20"/>
  <c r="U436" i="20" s="1"/>
  <c r="V436" i="20" s="1"/>
  <c r="W436" i="20" s="1"/>
  <c r="E390" i="20"/>
  <c r="U390" i="20" s="1"/>
  <c r="V390" i="20" s="1"/>
  <c r="W390" i="20" s="1"/>
  <c r="E19" i="20"/>
  <c r="U19" i="20" s="1"/>
  <c r="V19" i="20" s="1"/>
  <c r="E216" i="20"/>
  <c r="U216" i="20" s="1"/>
  <c r="V216" i="20" s="1"/>
  <c r="W216" i="20" s="1"/>
  <c r="E401" i="20"/>
  <c r="U401" i="20" s="1"/>
  <c r="V401" i="20" s="1"/>
  <c r="W401" i="20" s="1"/>
  <c r="E439" i="20"/>
  <c r="U439" i="20" s="1"/>
  <c r="V439" i="20" s="1"/>
  <c r="W439" i="20" s="1"/>
  <c r="E339" i="20"/>
  <c r="U339" i="20" s="1"/>
  <c r="V339" i="20" s="1"/>
  <c r="W339" i="20" s="1"/>
  <c r="E361" i="20"/>
  <c r="U361" i="20" s="1"/>
  <c r="V361" i="20" s="1"/>
  <c r="W361" i="20" s="1"/>
  <c r="E460" i="20"/>
  <c r="U460" i="20" s="1"/>
  <c r="V460" i="20" s="1"/>
  <c r="W460" i="20" s="1"/>
  <c r="E26" i="20"/>
  <c r="U26" i="20" s="1"/>
  <c r="E419" i="20"/>
  <c r="U419" i="20" s="1"/>
  <c r="V419" i="20" s="1"/>
  <c r="W419" i="20" s="1"/>
  <c r="E42" i="20"/>
  <c r="U42" i="20" s="1"/>
  <c r="V42" i="20" s="1"/>
  <c r="E389" i="20"/>
  <c r="U389" i="20" s="1"/>
  <c r="V389" i="20" s="1"/>
  <c r="W389" i="20" s="1"/>
  <c r="E299" i="20"/>
  <c r="U299" i="20" s="1"/>
  <c r="V299" i="20" s="1"/>
  <c r="W299" i="20" s="1"/>
  <c r="E272" i="20"/>
  <c r="U272" i="20" s="1"/>
  <c r="E409" i="20"/>
  <c r="U409" i="20" s="1"/>
  <c r="V409" i="20" s="1"/>
  <c r="W409" i="20" s="1"/>
  <c r="E48" i="20"/>
  <c r="U48" i="20" s="1"/>
  <c r="V48" i="20" s="1"/>
  <c r="E292" i="20"/>
  <c r="U292" i="20" s="1"/>
  <c r="V292" i="20" s="1"/>
  <c r="W292" i="20" s="1"/>
  <c r="E402" i="20"/>
  <c r="U402" i="20" s="1"/>
  <c r="V402" i="20" s="1"/>
  <c r="W402" i="20" s="1"/>
  <c r="E305" i="20"/>
  <c r="U305" i="20" s="1"/>
  <c r="V305" i="20" s="1"/>
  <c r="W305" i="20" s="1"/>
  <c r="E326" i="20"/>
  <c r="U326" i="20" s="1"/>
  <c r="E318" i="20"/>
  <c r="U318" i="20" s="1"/>
  <c r="V318" i="20" s="1"/>
  <c r="W318" i="20" s="1"/>
  <c r="E374" i="20"/>
  <c r="U374" i="20" s="1"/>
  <c r="E412" i="20"/>
  <c r="U412" i="20" s="1"/>
  <c r="V412" i="20" s="1"/>
  <c r="W412" i="20" s="1"/>
  <c r="E43" i="20"/>
  <c r="U43" i="20" s="1"/>
  <c r="V43" i="20" s="1"/>
  <c r="E277" i="20"/>
  <c r="U277" i="20" s="1"/>
  <c r="V277" i="20" s="1"/>
  <c r="W277" i="20" s="1"/>
  <c r="E309" i="20"/>
  <c r="U309" i="20" s="1"/>
  <c r="V309" i="20" s="1"/>
  <c r="W309" i="20" s="1"/>
  <c r="E418" i="20"/>
  <c r="U418" i="20" s="1"/>
  <c r="V418" i="20" s="1"/>
  <c r="W418" i="20" s="1"/>
  <c r="E56" i="20"/>
  <c r="U56" i="20" s="1"/>
  <c r="E249" i="20"/>
  <c r="U249" i="20" s="1"/>
  <c r="V249" i="20" s="1"/>
  <c r="W249" i="20" s="1"/>
  <c r="E423" i="20"/>
  <c r="U423" i="20" s="1"/>
  <c r="V423" i="20" s="1"/>
  <c r="W423" i="20" s="1"/>
  <c r="E38" i="20"/>
  <c r="U38" i="20" s="1"/>
  <c r="E252" i="20"/>
  <c r="U252" i="20" s="1"/>
  <c r="V252" i="20" s="1"/>
  <c r="W252" i="20" s="1"/>
  <c r="E306" i="20"/>
  <c r="U306" i="20" s="1"/>
  <c r="V306" i="20" s="1"/>
  <c r="W306" i="20" s="1"/>
  <c r="E298" i="20"/>
  <c r="U298" i="20" s="1"/>
  <c r="V298" i="20" s="1"/>
  <c r="W298" i="20" s="1"/>
  <c r="E452" i="20"/>
  <c r="U452" i="20" s="1"/>
  <c r="E478" i="20"/>
  <c r="U478" i="20" s="1"/>
  <c r="V478" i="20" s="1"/>
  <c r="W478" i="20" s="1"/>
  <c r="E385" i="20"/>
  <c r="U385" i="20" s="1"/>
  <c r="V385" i="20" s="1"/>
  <c r="W385" i="20" s="1"/>
  <c r="E400" i="20"/>
  <c r="U400" i="20" s="1"/>
  <c r="V400" i="20" s="1"/>
  <c r="W400" i="20" s="1"/>
  <c r="E27" i="20"/>
  <c r="U27" i="20" s="1"/>
  <c r="V27" i="20" s="1"/>
  <c r="E228" i="20"/>
  <c r="U228" i="20" s="1"/>
  <c r="V228" i="20" s="1"/>
  <c r="W228" i="20" s="1"/>
  <c r="E369" i="20"/>
  <c r="U369" i="20" s="1"/>
  <c r="V369" i="20" s="1"/>
  <c r="W369" i="20" s="1"/>
  <c r="E435" i="20"/>
  <c r="U435" i="20" s="1"/>
  <c r="V435" i="20" s="1"/>
  <c r="W435" i="20" s="1"/>
  <c r="E451" i="20"/>
  <c r="U451" i="20" s="1"/>
  <c r="V451" i="20" s="1"/>
  <c r="W451" i="20" s="1"/>
  <c r="E25" i="20"/>
  <c r="U25" i="20" s="1"/>
  <c r="V25" i="20" s="1"/>
  <c r="E335" i="20"/>
  <c r="U335" i="20" s="1"/>
  <c r="V335" i="20" s="1"/>
  <c r="W335" i="20" s="1"/>
  <c r="E222" i="20"/>
  <c r="U222" i="20" s="1"/>
  <c r="V222" i="20" s="1"/>
  <c r="W222" i="20" s="1"/>
  <c r="E341" i="20"/>
  <c r="U341" i="20" s="1"/>
  <c r="V341" i="20" s="1"/>
  <c r="W341" i="20" s="1"/>
  <c r="E308" i="20"/>
  <c r="U308" i="20" s="1"/>
  <c r="E287" i="20"/>
  <c r="U287" i="20" s="1"/>
  <c r="V287" i="20" s="1"/>
  <c r="W287" i="20" s="1"/>
  <c r="E430" i="20"/>
  <c r="U430" i="20" s="1"/>
  <c r="V430" i="20" s="1"/>
  <c r="W430" i="20" s="1"/>
  <c r="E404" i="20"/>
  <c r="U404" i="20" s="1"/>
  <c r="E447" i="20"/>
  <c r="U447" i="20" s="1"/>
  <c r="V447" i="20" s="1"/>
  <c r="W447" i="20" s="1"/>
  <c r="E437" i="20"/>
  <c r="U437" i="20" s="1"/>
  <c r="V437" i="20" s="1"/>
  <c r="W437" i="20" s="1"/>
  <c r="E46" i="20"/>
  <c r="U46" i="20" s="1"/>
  <c r="V46" i="20" s="1"/>
  <c r="E332" i="20"/>
  <c r="U332" i="20" s="1"/>
  <c r="E359" i="20"/>
  <c r="U359" i="20" s="1"/>
  <c r="V359" i="20" s="1"/>
  <c r="W359" i="20" s="1"/>
  <c r="E236" i="20"/>
  <c r="U236" i="20" s="1"/>
  <c r="E251" i="20"/>
  <c r="U251" i="20" s="1"/>
  <c r="V251" i="20" s="1"/>
  <c r="W251" i="20" s="1"/>
  <c r="E18" i="20"/>
  <c r="U18" i="20" s="1"/>
  <c r="V18" i="20" s="1"/>
  <c r="E314" i="20"/>
  <c r="U314" i="20" s="1"/>
  <c r="E343" i="20"/>
  <c r="U343" i="20" s="1"/>
  <c r="V343" i="20" s="1"/>
  <c r="W343" i="20" s="1"/>
  <c r="E410" i="20"/>
  <c r="U410" i="20" s="1"/>
  <c r="E357" i="20"/>
  <c r="U357" i="20" s="1"/>
  <c r="V357" i="20" s="1"/>
  <c r="W357" i="20" s="1"/>
  <c r="E8" i="20"/>
  <c r="U8" i="20" s="1"/>
  <c r="E271" i="20"/>
  <c r="U271" i="20" s="1"/>
  <c r="V271" i="20" s="1"/>
  <c r="W271" i="20" s="1"/>
  <c r="E285" i="20"/>
  <c r="U285" i="20" s="1"/>
  <c r="V285" i="20" s="1"/>
  <c r="W285" i="20" s="1"/>
  <c r="E469" i="20"/>
  <c r="U469" i="20" s="1"/>
  <c r="V469" i="20" s="1"/>
  <c r="W469" i="20" s="1"/>
  <c r="E304" i="20"/>
  <c r="U304" i="20" s="1"/>
  <c r="V304" i="20" s="1"/>
  <c r="W304" i="20" s="1"/>
  <c r="E344" i="20"/>
  <c r="U344" i="20" s="1"/>
  <c r="E215" i="20"/>
  <c r="U215" i="20" s="1"/>
  <c r="V215" i="20" s="1"/>
  <c r="W215" i="20" s="1"/>
  <c r="E231" i="20"/>
  <c r="U231" i="20" s="1"/>
  <c r="V231" i="20" s="1"/>
  <c r="W231" i="20" s="1"/>
  <c r="E466" i="20"/>
  <c r="U466" i="20" s="1"/>
  <c r="V466" i="20" s="1"/>
  <c r="W466" i="20" s="1"/>
  <c r="E315" i="20"/>
  <c r="U315" i="20" s="1"/>
  <c r="V315" i="20" s="1"/>
  <c r="W315" i="20" s="1"/>
  <c r="E371" i="20"/>
  <c r="U371" i="20" s="1"/>
  <c r="V371" i="20" s="1"/>
  <c r="W371" i="20" s="1"/>
  <c r="E33" i="20"/>
  <c r="U33" i="20" s="1"/>
  <c r="V33" i="20" s="1"/>
  <c r="E313" i="20"/>
  <c r="U313" i="20" s="1"/>
  <c r="V313" i="20" s="1"/>
  <c r="W313" i="20" s="1"/>
  <c r="E244" i="20"/>
  <c r="U244" i="20" s="1"/>
  <c r="V244" i="20" s="1"/>
  <c r="W244" i="20" s="1"/>
  <c r="E253" i="20"/>
  <c r="U253" i="20" s="1"/>
  <c r="V253" i="20" s="1"/>
  <c r="W253" i="20" s="1"/>
  <c r="E264" i="20"/>
  <c r="U264" i="20" s="1"/>
  <c r="V264" i="20" s="1"/>
  <c r="W264" i="20" s="1"/>
  <c r="E279" i="20"/>
  <c r="U279" i="20" s="1"/>
  <c r="V279" i="20" s="1"/>
  <c r="W279" i="20" s="1"/>
  <c r="E453" i="20"/>
  <c r="U453" i="20" s="1"/>
  <c r="V453" i="20" s="1"/>
  <c r="W453" i="20" s="1"/>
  <c r="E49" i="20"/>
  <c r="U49" i="20" s="1"/>
  <c r="V49" i="20" s="1"/>
  <c r="E379" i="20"/>
  <c r="U379" i="20" s="1"/>
  <c r="V379" i="20" s="1"/>
  <c r="W379" i="20" s="1"/>
  <c r="E39" i="20"/>
  <c r="U39" i="20" s="1"/>
  <c r="V39" i="20" s="1"/>
  <c r="E259" i="20"/>
  <c r="U259" i="20" s="1"/>
  <c r="V259" i="20" s="1"/>
  <c r="W259" i="20" s="1"/>
  <c r="E273" i="20"/>
  <c r="U273" i="20" s="1"/>
  <c r="V273" i="20" s="1"/>
  <c r="W273" i="20" s="1"/>
  <c r="E471" i="20"/>
  <c r="U471" i="20" s="1"/>
  <c r="V471" i="20" s="1"/>
  <c r="W471" i="20" s="1"/>
  <c r="E301" i="20"/>
  <c r="U301" i="20" s="1"/>
  <c r="V301" i="20" s="1"/>
  <c r="W301" i="20" s="1"/>
  <c r="E354" i="20"/>
  <c r="U354" i="20" s="1"/>
  <c r="V354" i="20" s="1"/>
  <c r="W354" i="20" s="1"/>
  <c r="E405" i="20"/>
  <c r="U405" i="20" s="1"/>
  <c r="V405" i="20" s="1"/>
  <c r="W405" i="20" s="1"/>
  <c r="E217" i="20"/>
  <c r="U217" i="20" s="1"/>
  <c r="V217" i="20" s="1"/>
  <c r="W217" i="20" s="1"/>
  <c r="E457" i="20"/>
  <c r="U457" i="20" s="1"/>
  <c r="V457" i="20" s="1"/>
  <c r="W457" i="20" s="1"/>
  <c r="E363" i="20"/>
  <c r="U363" i="20" s="1"/>
  <c r="V363" i="20" s="1"/>
  <c r="W363" i="20" s="1"/>
  <c r="E370" i="20"/>
  <c r="U370" i="20" s="1"/>
  <c r="V370" i="20" s="1"/>
  <c r="W370" i="20" s="1"/>
  <c r="E28" i="20"/>
  <c r="U28" i="20" s="1"/>
  <c r="V28" i="20" s="1"/>
  <c r="E312" i="20"/>
  <c r="U312" i="20" s="1"/>
  <c r="V312" i="20" s="1"/>
  <c r="W312" i="20" s="1"/>
  <c r="E234" i="20"/>
  <c r="U234" i="20" s="1"/>
  <c r="V234" i="20" s="1"/>
  <c r="W234" i="20" s="1"/>
  <c r="E247" i="20"/>
  <c r="U247" i="20" s="1"/>
  <c r="V247" i="20" s="1"/>
  <c r="W247" i="20" s="1"/>
  <c r="E427" i="20"/>
  <c r="U427" i="20" s="1"/>
  <c r="V427" i="20" s="1"/>
  <c r="W427" i="20" s="1"/>
  <c r="E261" i="20"/>
  <c r="U261" i="20" s="1"/>
  <c r="V261" i="20" s="1"/>
  <c r="W261" i="20" s="1"/>
  <c r="E445" i="20"/>
  <c r="U445" i="20" s="1"/>
  <c r="V445" i="20" s="1"/>
  <c r="W445" i="20" s="1"/>
  <c r="E59" i="20"/>
  <c r="U59" i="20" s="1"/>
  <c r="V59" i="20" s="1"/>
  <c r="E57" i="20"/>
  <c r="U57" i="20" s="1"/>
  <c r="V57" i="20" s="1"/>
  <c r="E60" i="20"/>
  <c r="U60" i="20" s="1"/>
  <c r="V60" i="20" s="1"/>
  <c r="E67" i="20"/>
  <c r="U67" i="20" s="1"/>
  <c r="V67" i="20" s="1"/>
  <c r="E66" i="20"/>
  <c r="U66" i="20" s="1"/>
  <c r="V66" i="20" s="1"/>
  <c r="E63" i="20"/>
  <c r="U63" i="20" s="1"/>
  <c r="V63" i="20" s="1"/>
  <c r="E64" i="20"/>
  <c r="U64" i="20" s="1"/>
  <c r="V64" i="20" s="1"/>
  <c r="E68" i="20"/>
  <c r="U68" i="20" s="1"/>
  <c r="E65" i="20"/>
  <c r="U65" i="20" s="1"/>
  <c r="V65" i="20" s="1"/>
  <c r="E71" i="20"/>
  <c r="U71" i="20" s="1"/>
  <c r="V71" i="20" s="1"/>
  <c r="E73" i="20"/>
  <c r="U73" i="20" s="1"/>
  <c r="V73" i="20" s="1"/>
  <c r="E70" i="20"/>
  <c r="U70" i="20" s="1"/>
  <c r="V70" i="20" s="1"/>
  <c r="E74" i="20"/>
  <c r="U74" i="20" s="1"/>
  <c r="E69" i="20"/>
  <c r="U69" i="20" s="1"/>
  <c r="V69" i="20" s="1"/>
  <c r="E72" i="20"/>
  <c r="U72" i="20" s="1"/>
  <c r="V72" i="20" s="1"/>
  <c r="E75" i="20"/>
  <c r="U75" i="20" s="1"/>
  <c r="V75" i="20" s="1"/>
  <c r="E76" i="20"/>
  <c r="U76" i="20" s="1"/>
  <c r="V76" i="20" s="1"/>
  <c r="E78" i="20"/>
  <c r="U78" i="20" s="1"/>
  <c r="V78" i="20" s="1"/>
  <c r="E170" i="20"/>
  <c r="U170" i="20" s="1"/>
  <c r="E166" i="20"/>
  <c r="U166" i="20" s="1"/>
  <c r="V166" i="20" s="1"/>
  <c r="W166" i="20" s="1"/>
  <c r="E168" i="20"/>
  <c r="U168" i="20" s="1"/>
  <c r="V168" i="20" s="1"/>
  <c r="W168" i="20" s="1"/>
  <c r="E79" i="20"/>
  <c r="U79" i="20" s="1"/>
  <c r="V79" i="20" s="1"/>
  <c r="E77" i="20"/>
  <c r="U77" i="20" s="1"/>
  <c r="V77" i="20" s="1"/>
  <c r="E80" i="20"/>
  <c r="U80" i="20" s="1"/>
  <c r="E169" i="20"/>
  <c r="U169" i="20" s="1"/>
  <c r="V169" i="20" s="1"/>
  <c r="W169" i="20" s="1"/>
  <c r="E167" i="20"/>
  <c r="U167" i="20" s="1"/>
  <c r="V167" i="20" s="1"/>
  <c r="W167" i="20" s="1"/>
  <c r="E85" i="20"/>
  <c r="U85" i="20" s="1"/>
  <c r="V85" i="20" s="1"/>
  <c r="E81" i="20"/>
  <c r="U81" i="20" s="1"/>
  <c r="V81" i="20" s="1"/>
  <c r="E84" i="20"/>
  <c r="U84" i="20" s="1"/>
  <c r="V84" i="20" s="1"/>
  <c r="E171" i="20"/>
  <c r="U171" i="20" s="1"/>
  <c r="V171" i="20" s="1"/>
  <c r="W171" i="20" s="1"/>
  <c r="E175" i="20"/>
  <c r="U175" i="20" s="1"/>
  <c r="V175" i="20" s="1"/>
  <c r="W175" i="20" s="1"/>
  <c r="E173" i="20"/>
  <c r="U173" i="20" s="1"/>
  <c r="V173" i="20" s="1"/>
  <c r="W173" i="20" s="1"/>
  <c r="E91" i="20"/>
  <c r="U91" i="20" s="1"/>
  <c r="V91" i="20" s="1"/>
  <c r="E82" i="20"/>
  <c r="U82" i="20" s="1"/>
  <c r="V82" i="20" s="1"/>
  <c r="E86" i="20"/>
  <c r="U86" i="20" s="1"/>
  <c r="E83" i="20"/>
  <c r="U83" i="20" s="1"/>
  <c r="V83" i="20" s="1"/>
  <c r="E176" i="20"/>
  <c r="U176" i="20" s="1"/>
  <c r="E174" i="20"/>
  <c r="U174" i="20" s="1"/>
  <c r="V174" i="20" s="1"/>
  <c r="W174" i="20" s="1"/>
  <c r="E172" i="20"/>
  <c r="U172" i="20" s="1"/>
  <c r="V172" i="20" s="1"/>
  <c r="W172" i="20" s="1"/>
  <c r="E87" i="20"/>
  <c r="U87" i="20" s="1"/>
  <c r="V87" i="20" s="1"/>
  <c r="E89" i="20"/>
  <c r="U89" i="20" s="1"/>
  <c r="V89" i="20" s="1"/>
  <c r="E88" i="20"/>
  <c r="U88" i="20" s="1"/>
  <c r="V88" i="20" s="1"/>
  <c r="E179" i="20"/>
  <c r="U179" i="20" s="1"/>
  <c r="V179" i="20" s="1"/>
  <c r="W179" i="20" s="1"/>
  <c r="E180" i="20"/>
  <c r="U180" i="20" s="1"/>
  <c r="V180" i="20" s="1"/>
  <c r="W180" i="20" s="1"/>
  <c r="E181" i="20"/>
  <c r="U181" i="20" s="1"/>
  <c r="V181" i="20" s="1"/>
  <c r="W181" i="20" s="1"/>
  <c r="E98" i="20"/>
  <c r="U98" i="20" s="1"/>
  <c r="E90" i="20"/>
  <c r="U90" i="20" s="1"/>
  <c r="V90" i="20" s="1"/>
  <c r="E92" i="20"/>
  <c r="U92" i="20" s="1"/>
  <c r="E182" i="20"/>
  <c r="U182" i="20" s="1"/>
  <c r="E178" i="20"/>
  <c r="U178" i="20" s="1"/>
  <c r="V178" i="20" s="1"/>
  <c r="W178" i="20" s="1"/>
  <c r="E177" i="20"/>
  <c r="U177" i="20" s="1"/>
  <c r="V177" i="20" s="1"/>
  <c r="W177" i="20" s="1"/>
  <c r="E96" i="20"/>
  <c r="U96" i="20" s="1"/>
  <c r="V96" i="20" s="1"/>
  <c r="E95" i="20"/>
  <c r="U95" i="20" s="1"/>
  <c r="V95" i="20" s="1"/>
  <c r="E97" i="20"/>
  <c r="U97" i="20" s="1"/>
  <c r="V97" i="20" s="1"/>
  <c r="E185" i="20"/>
  <c r="U185" i="20" s="1"/>
  <c r="V185" i="20" s="1"/>
  <c r="W185" i="20" s="1"/>
  <c r="E187" i="20"/>
  <c r="U187" i="20" s="1"/>
  <c r="V187" i="20" s="1"/>
  <c r="W187" i="20" s="1"/>
  <c r="E186" i="20"/>
  <c r="U186" i="20" s="1"/>
  <c r="V186" i="20" s="1"/>
  <c r="W186" i="20" s="1"/>
  <c r="E101" i="20"/>
  <c r="U101" i="20" s="1"/>
  <c r="V101" i="20" s="1"/>
  <c r="E94" i="20"/>
  <c r="U94" i="20" s="1"/>
  <c r="V94" i="20" s="1"/>
  <c r="E93" i="20"/>
  <c r="U93" i="20" s="1"/>
  <c r="V93" i="20" s="1"/>
  <c r="E183" i="20"/>
  <c r="U183" i="20" s="1"/>
  <c r="V183" i="20" s="1"/>
  <c r="W183" i="20" s="1"/>
  <c r="E188" i="20"/>
  <c r="U188" i="20" s="1"/>
  <c r="E184" i="20"/>
  <c r="U184" i="20" s="1"/>
  <c r="V184" i="20" s="1"/>
  <c r="W184" i="20" s="1"/>
  <c r="E100" i="20"/>
  <c r="U100" i="20" s="1"/>
  <c r="V100" i="20" s="1"/>
  <c r="E102" i="20"/>
  <c r="U102" i="20" s="1"/>
  <c r="V102" i="20" s="1"/>
  <c r="E104" i="20"/>
  <c r="U104" i="20" s="1"/>
  <c r="E194" i="20"/>
  <c r="U194" i="20" s="1"/>
  <c r="E189" i="20"/>
  <c r="U189" i="20" s="1"/>
  <c r="V189" i="20" s="1"/>
  <c r="W189" i="20" s="1"/>
  <c r="E190" i="20"/>
  <c r="U190" i="20" s="1"/>
  <c r="V190" i="20" s="1"/>
  <c r="W190" i="20" s="1"/>
  <c r="E105" i="20"/>
  <c r="U105" i="20" s="1"/>
  <c r="V105" i="20" s="1"/>
  <c r="E99" i="20"/>
  <c r="U99" i="20" s="1"/>
  <c r="V99" i="20" s="1"/>
  <c r="E103" i="20"/>
  <c r="U103" i="20" s="1"/>
  <c r="V103" i="20" s="1"/>
  <c r="E191" i="20"/>
  <c r="U191" i="20" s="1"/>
  <c r="V191" i="20" s="1"/>
  <c r="W191" i="20" s="1"/>
  <c r="E192" i="20"/>
  <c r="U192" i="20" s="1"/>
  <c r="V192" i="20" s="1"/>
  <c r="W192" i="20" s="1"/>
  <c r="E193" i="20"/>
  <c r="U193" i="20" s="1"/>
  <c r="V193" i="20" s="1"/>
  <c r="W193" i="20" s="1"/>
  <c r="E108" i="20"/>
  <c r="U108" i="20" s="1"/>
  <c r="V108" i="20" s="1"/>
  <c r="E109" i="20"/>
  <c r="U109" i="20" s="1"/>
  <c r="V109" i="20" s="1"/>
  <c r="E110" i="20"/>
  <c r="U110" i="20" s="1"/>
  <c r="E196" i="20"/>
  <c r="U196" i="20" s="1"/>
  <c r="V196" i="20" s="1"/>
  <c r="W196" i="20" s="1"/>
  <c r="E199" i="20"/>
  <c r="U199" i="20" s="1"/>
  <c r="V199" i="20" s="1"/>
  <c r="W199" i="20" s="1"/>
  <c r="E198" i="20"/>
  <c r="U198" i="20" s="1"/>
  <c r="V198" i="20" s="1"/>
  <c r="W198" i="20" s="1"/>
  <c r="E106" i="20"/>
  <c r="U106" i="20" s="1"/>
  <c r="V106" i="20" s="1"/>
  <c r="E107" i="20"/>
  <c r="U107" i="20" s="1"/>
  <c r="V107" i="20" s="1"/>
  <c r="E197" i="20"/>
  <c r="U197" i="20" s="1"/>
  <c r="V197" i="20" s="1"/>
  <c r="W197" i="20" s="1"/>
  <c r="E200" i="20"/>
  <c r="U200" i="20" s="1"/>
  <c r="E195" i="20"/>
  <c r="U195" i="20" s="1"/>
  <c r="V195" i="20" s="1"/>
  <c r="W195" i="20" s="1"/>
  <c r="E111" i="20"/>
  <c r="U111" i="20" s="1"/>
  <c r="V111" i="20" s="1"/>
  <c r="E114" i="20"/>
  <c r="U114" i="20" s="1"/>
  <c r="V114" i="20" s="1"/>
  <c r="E115" i="20"/>
  <c r="U115" i="20" s="1"/>
  <c r="V115" i="20" s="1"/>
  <c r="E203" i="20"/>
  <c r="U203" i="20" s="1"/>
  <c r="V203" i="20" s="1"/>
  <c r="W203" i="20" s="1"/>
  <c r="E201" i="20"/>
  <c r="U201" i="20" s="1"/>
  <c r="V201" i="20" s="1"/>
  <c r="W201" i="20" s="1"/>
  <c r="E204" i="20"/>
  <c r="U204" i="20" s="1"/>
  <c r="V204" i="20" s="1"/>
  <c r="W204" i="20" s="1"/>
  <c r="E116" i="20"/>
  <c r="U116" i="20" s="1"/>
  <c r="E112" i="20"/>
  <c r="U112" i="20" s="1"/>
  <c r="V112" i="20" s="1"/>
  <c r="E113" i="20"/>
  <c r="U113" i="20" s="1"/>
  <c r="V113" i="20" s="1"/>
  <c r="E205" i="20"/>
  <c r="U205" i="20" s="1"/>
  <c r="V205" i="20" s="1"/>
  <c r="W205" i="20" s="1"/>
  <c r="E206" i="20"/>
  <c r="U206" i="20" s="1"/>
  <c r="E202" i="20"/>
  <c r="U202" i="20" s="1"/>
  <c r="V202" i="20" s="1"/>
  <c r="W202" i="20" s="1"/>
  <c r="E118" i="20"/>
  <c r="U118" i="20" s="1"/>
  <c r="V118" i="20" s="1"/>
  <c r="E119" i="20"/>
  <c r="U119" i="20" s="1"/>
  <c r="V119" i="20" s="1"/>
  <c r="E121" i="20"/>
  <c r="U121" i="20" s="1"/>
  <c r="V121" i="20" s="1"/>
  <c r="E207" i="20"/>
  <c r="U207" i="20" s="1"/>
  <c r="V207" i="20" s="1"/>
  <c r="W207" i="20" s="1"/>
  <c r="E210" i="20"/>
  <c r="U210" i="20" s="1"/>
  <c r="V210" i="20" s="1"/>
  <c r="W210" i="20" s="1"/>
  <c r="E211" i="20"/>
  <c r="U211" i="20" s="1"/>
  <c r="V211" i="20" s="1"/>
  <c r="W211" i="20" s="1"/>
  <c r="E123" i="20"/>
  <c r="U123" i="20" s="1"/>
  <c r="V123" i="20" s="1"/>
  <c r="E127" i="20"/>
  <c r="U127" i="20" s="1"/>
  <c r="V127" i="20" s="1"/>
  <c r="E117" i="20"/>
  <c r="U117" i="20" s="1"/>
  <c r="V117" i="20" s="1"/>
  <c r="E122" i="20"/>
  <c r="U122" i="20" s="1"/>
  <c r="E120" i="20"/>
  <c r="U120" i="20" s="1"/>
  <c r="V120" i="20" s="1"/>
  <c r="E208" i="20"/>
  <c r="U208" i="20" s="1"/>
  <c r="V208" i="20" s="1"/>
  <c r="W208" i="20" s="1"/>
  <c r="E212" i="20"/>
  <c r="U212" i="20" s="1"/>
  <c r="E209" i="20"/>
  <c r="U209" i="20" s="1"/>
  <c r="V209" i="20" s="1"/>
  <c r="W209" i="20" s="1"/>
  <c r="E124" i="20"/>
  <c r="U124" i="20" s="1"/>
  <c r="V124" i="20" s="1"/>
  <c r="E128" i="20"/>
  <c r="U128" i="20" s="1"/>
  <c r="E126" i="20"/>
  <c r="U126" i="20" s="1"/>
  <c r="V126" i="20" s="1"/>
  <c r="E125" i="20"/>
  <c r="U125" i="20" s="1"/>
  <c r="V125" i="20" s="1"/>
  <c r="E131" i="20"/>
  <c r="U131" i="20" s="1"/>
  <c r="V131" i="20" s="1"/>
  <c r="E134" i="20"/>
  <c r="U134" i="20" s="1"/>
  <c r="E132" i="20"/>
  <c r="U132" i="20" s="1"/>
  <c r="V132" i="20" s="1"/>
  <c r="E133" i="20"/>
  <c r="U133" i="20" s="1"/>
  <c r="V133" i="20" s="1"/>
  <c r="E129" i="20"/>
  <c r="U129" i="20" s="1"/>
  <c r="V129" i="20" s="1"/>
  <c r="E130" i="20"/>
  <c r="U130" i="20" s="1"/>
  <c r="V130" i="20" s="1"/>
  <c r="E136" i="20"/>
  <c r="U136" i="20" s="1"/>
  <c r="V136" i="20" s="1"/>
  <c r="W136" i="20" s="1"/>
  <c r="E137" i="20"/>
  <c r="U137" i="20" s="1"/>
  <c r="V137" i="20" s="1"/>
  <c r="W137" i="20" s="1"/>
  <c r="E135" i="20"/>
  <c r="U135" i="20" s="1"/>
  <c r="V135" i="20" s="1"/>
  <c r="W135" i="20" s="1"/>
  <c r="E140" i="20"/>
  <c r="U140" i="20" s="1"/>
  <c r="E138" i="20"/>
  <c r="U138" i="20" s="1"/>
  <c r="V138" i="20" s="1"/>
  <c r="W138" i="20" s="1"/>
  <c r="E139" i="20"/>
  <c r="U139" i="20" s="1"/>
  <c r="V139" i="20" s="1"/>
  <c r="W139" i="20" s="1"/>
  <c r="E146" i="20"/>
  <c r="U146" i="20" s="1"/>
  <c r="E143" i="20"/>
  <c r="U143" i="20" s="1"/>
  <c r="V143" i="20" s="1"/>
  <c r="W143" i="20" s="1"/>
  <c r="E145" i="20"/>
  <c r="U145" i="20" s="1"/>
  <c r="V145" i="20" s="1"/>
  <c r="W145" i="20" s="1"/>
  <c r="E141" i="20"/>
  <c r="U141" i="20" s="1"/>
  <c r="V141" i="20" s="1"/>
  <c r="W141" i="20" s="1"/>
  <c r="E142" i="20"/>
  <c r="U142" i="20" s="1"/>
  <c r="V142" i="20" s="1"/>
  <c r="W142" i="20" s="1"/>
  <c r="E144" i="20"/>
  <c r="U144" i="20" s="1"/>
  <c r="V144" i="20" s="1"/>
  <c r="W144" i="20" s="1"/>
  <c r="E150" i="20"/>
  <c r="U150" i="20" s="1"/>
  <c r="V150" i="20" s="1"/>
  <c r="W150" i="20" s="1"/>
  <c r="E149" i="20"/>
  <c r="U149" i="20" s="1"/>
  <c r="V149" i="20" s="1"/>
  <c r="W149" i="20" s="1"/>
  <c r="E147" i="20"/>
  <c r="U147" i="20" s="1"/>
  <c r="V147" i="20" s="1"/>
  <c r="W147" i="20" s="1"/>
  <c r="E152" i="20"/>
  <c r="U152" i="20" s="1"/>
  <c r="E151" i="20"/>
  <c r="U151" i="20" s="1"/>
  <c r="V151" i="20" s="1"/>
  <c r="W151" i="20" s="1"/>
  <c r="E148" i="20"/>
  <c r="U148" i="20" s="1"/>
  <c r="V148" i="20" s="1"/>
  <c r="W148" i="20" s="1"/>
  <c r="E213" i="20"/>
  <c r="U213" i="20" s="1"/>
  <c r="V213" i="20" s="1"/>
  <c r="W213" i="20" s="1"/>
  <c r="E153" i="20"/>
  <c r="U153" i="20" s="1"/>
  <c r="V153" i="20" s="1"/>
  <c r="W153" i="20" s="1"/>
  <c r="E156" i="20"/>
  <c r="U156" i="20" s="1"/>
  <c r="V156" i="20" s="1"/>
  <c r="W156" i="20" s="1"/>
  <c r="E157" i="20"/>
  <c r="U157" i="20" s="1"/>
  <c r="V157" i="20" s="1"/>
  <c r="W157" i="20" s="1"/>
  <c r="E154" i="20"/>
  <c r="U154" i="20" s="1"/>
  <c r="V154" i="20" s="1"/>
  <c r="W154" i="20" s="1"/>
  <c r="E155" i="20"/>
  <c r="U155" i="20" s="1"/>
  <c r="V155" i="20" s="1"/>
  <c r="W155" i="20" s="1"/>
  <c r="E158" i="20"/>
  <c r="U158" i="20" s="1"/>
  <c r="V164" i="20"/>
  <c r="W164" i="20" l="1"/>
  <c r="X164" i="20" s="1"/>
  <c r="M34" i="5" s="1"/>
  <c r="V158" i="20"/>
  <c r="M35" i="5"/>
  <c r="V152" i="20"/>
  <c r="V140" i="20"/>
  <c r="V134" i="20"/>
  <c r="V128" i="20"/>
  <c r="V122" i="20"/>
  <c r="V110" i="20"/>
  <c r="V104" i="20"/>
  <c r="V188" i="20"/>
  <c r="V92" i="20"/>
  <c r="V98" i="20"/>
  <c r="X92" i="20"/>
  <c r="Q30" i="5" s="1"/>
  <c r="V80" i="20"/>
  <c r="V68" i="20"/>
  <c r="V344" i="20"/>
  <c r="V236" i="20"/>
  <c r="V332" i="20"/>
  <c r="V404" i="20"/>
  <c r="V452" i="20"/>
  <c r="V38" i="20"/>
  <c r="V26" i="20"/>
  <c r="V320" i="20"/>
  <c r="V302" i="20"/>
  <c r="V350" i="20"/>
  <c r="V14" i="20"/>
  <c r="V428" i="20"/>
  <c r="V290" i="20"/>
  <c r="V242" i="20"/>
  <c r="V44" i="20"/>
  <c r="V260" i="20"/>
  <c r="V338" i="20"/>
  <c r="V470" i="20"/>
  <c r="V476" i="20"/>
  <c r="V266" i="20"/>
  <c r="V482" i="20"/>
  <c r="V434" i="20"/>
  <c r="V248" i="20"/>
  <c r="V446" i="20"/>
  <c r="V146" i="20"/>
  <c r="V212" i="20"/>
  <c r="V206" i="20"/>
  <c r="V116" i="20"/>
  <c r="V200" i="20"/>
  <c r="V194" i="20"/>
  <c r="V182" i="20"/>
  <c r="V176" i="20"/>
  <c r="V86" i="20"/>
  <c r="V170" i="20"/>
  <c r="V74" i="20"/>
  <c r="V8" i="20"/>
  <c r="V410" i="20"/>
  <c r="V314" i="20"/>
  <c r="V308" i="20"/>
  <c r="V56" i="20"/>
  <c r="V374" i="20"/>
  <c r="V326" i="20"/>
  <c r="V272" i="20"/>
  <c r="V422" i="20"/>
  <c r="V386" i="20"/>
  <c r="V254" i="20"/>
  <c r="V224" i="20"/>
  <c r="V50" i="20"/>
  <c r="V296" i="20"/>
  <c r="V32" i="20"/>
  <c r="V356" i="20"/>
  <c r="V62" i="20"/>
  <c r="V416" i="20"/>
  <c r="V398" i="20"/>
  <c r="V464" i="20"/>
  <c r="V362" i="20"/>
  <c r="V392" i="20"/>
  <c r="V458" i="20"/>
  <c r="V368" i="20"/>
  <c r="V284" i="20"/>
  <c r="V230" i="20"/>
  <c r="V440" i="20"/>
  <c r="V380" i="20"/>
  <c r="V20" i="20"/>
  <c r="V218" i="20"/>
  <c r="V278" i="20"/>
  <c r="W278" i="20" l="1"/>
  <c r="X278" i="20" s="1"/>
  <c r="P38" i="5" s="1"/>
  <c r="X20" i="20"/>
  <c r="E30" i="5" s="1"/>
  <c r="W284" i="20"/>
  <c r="X284" i="20" s="1"/>
  <c r="Q38" i="5" s="1"/>
  <c r="W218" i="20"/>
  <c r="X218" i="20" s="1"/>
  <c r="F38" i="5" s="1"/>
  <c r="W380" i="20"/>
  <c r="X380" i="20" s="1"/>
  <c r="Q42" i="5" s="1"/>
  <c r="W230" i="20"/>
  <c r="X230" i="20" s="1"/>
  <c r="H38" i="5" s="1"/>
  <c r="W368" i="20"/>
  <c r="X368" i="20" s="1"/>
  <c r="O42" i="5" s="1"/>
  <c r="W392" i="20"/>
  <c r="X392" i="20" s="1"/>
  <c r="C46" i="5" s="1"/>
  <c r="W464" i="20"/>
  <c r="X464" i="20" s="1"/>
  <c r="O46" i="5" s="1"/>
  <c r="W416" i="20"/>
  <c r="X416" i="20" s="1"/>
  <c r="G46" i="5" s="1"/>
  <c r="W356" i="20"/>
  <c r="X356" i="20" s="1"/>
  <c r="M42" i="5" s="1"/>
  <c r="W296" i="20"/>
  <c r="X296" i="20" s="1"/>
  <c r="C42" i="5" s="1"/>
  <c r="W224" i="20"/>
  <c r="X224" i="20" s="1"/>
  <c r="G38" i="5" s="1"/>
  <c r="W386" i="20"/>
  <c r="X386" i="20" s="1"/>
  <c r="R42" i="5" s="1"/>
  <c r="W272" i="20"/>
  <c r="X272" i="20" s="1"/>
  <c r="O38" i="5" s="1"/>
  <c r="W374" i="20"/>
  <c r="X374" i="20" s="1"/>
  <c r="P42" i="5" s="1"/>
  <c r="W308" i="20"/>
  <c r="X308" i="20" s="1"/>
  <c r="E42" i="5" s="1"/>
  <c r="W410" i="20"/>
  <c r="X410" i="20" s="1"/>
  <c r="F46" i="5" s="1"/>
  <c r="X74" i="20"/>
  <c r="N30" i="5" s="1"/>
  <c r="X86" i="20"/>
  <c r="P30" i="5" s="1"/>
  <c r="W182" i="20"/>
  <c r="X182" i="20" s="1"/>
  <c r="P34" i="5" s="1"/>
  <c r="W200" i="20"/>
  <c r="X200" i="20" s="1"/>
  <c r="C38" i="5" s="1"/>
  <c r="W206" i="20"/>
  <c r="X206" i="20" s="1"/>
  <c r="D38" i="5" s="1"/>
  <c r="W146" i="20"/>
  <c r="X146" i="20" s="1"/>
  <c r="J34" i="5" s="1"/>
  <c r="W248" i="20"/>
  <c r="X248" i="20" s="1"/>
  <c r="K38" i="5" s="1"/>
  <c r="W482" i="20"/>
  <c r="X482" i="20" s="1"/>
  <c r="R46" i="5" s="1"/>
  <c r="W476" i="20"/>
  <c r="X476" i="20" s="1"/>
  <c r="Q46" i="5" s="1"/>
  <c r="W338" i="20"/>
  <c r="X338" i="20" s="1"/>
  <c r="J42" i="5" s="1"/>
  <c r="X44" i="20"/>
  <c r="I30" i="5" s="1"/>
  <c r="W290" i="20"/>
  <c r="X290" i="20" s="1"/>
  <c r="R38" i="5" s="1"/>
  <c r="X14" i="20"/>
  <c r="D30" i="5" s="1"/>
  <c r="W302" i="20"/>
  <c r="X302" i="20" s="1"/>
  <c r="D42" i="5" s="1"/>
  <c r="X26" i="20"/>
  <c r="F30" i="5" s="1"/>
  <c r="W452" i="20"/>
  <c r="X452" i="20" s="1"/>
  <c r="M46" i="5" s="1"/>
  <c r="W332" i="20"/>
  <c r="X332" i="20" s="1"/>
  <c r="I42" i="5" s="1"/>
  <c r="W344" i="20"/>
  <c r="X344" i="20" s="1"/>
  <c r="K42" i="5" s="1"/>
  <c r="X80" i="20"/>
  <c r="O30" i="5" s="1"/>
  <c r="X98" i="20"/>
  <c r="R30" i="5" s="1"/>
  <c r="W188" i="20"/>
  <c r="X188" i="20" s="1"/>
  <c r="Q34" i="5" s="1"/>
  <c r="X110" i="20"/>
  <c r="D34" i="5" s="1"/>
  <c r="X128" i="20"/>
  <c r="G34" i="5" s="1"/>
  <c r="W140" i="20"/>
  <c r="X140" i="20" s="1"/>
  <c r="I34" i="5" s="1"/>
  <c r="W440" i="20"/>
  <c r="X440" i="20" s="1"/>
  <c r="K46" i="5" s="1"/>
  <c r="W458" i="20"/>
  <c r="X458" i="20" s="1"/>
  <c r="N46" i="5" s="1"/>
  <c r="W362" i="20"/>
  <c r="X362" i="20" s="1"/>
  <c r="N42" i="5" s="1"/>
  <c r="W398" i="20"/>
  <c r="X398" i="20" s="1"/>
  <c r="D46" i="5" s="1"/>
  <c r="X62" i="20"/>
  <c r="L30" i="5" s="1"/>
  <c r="X32" i="20"/>
  <c r="G30" i="5" s="1"/>
  <c r="X50" i="20"/>
  <c r="J30" i="5" s="1"/>
  <c r="W254" i="20"/>
  <c r="X254" i="20" s="1"/>
  <c r="L38" i="5" s="1"/>
  <c r="W422" i="20"/>
  <c r="X422" i="20" s="1"/>
  <c r="H46" i="5" s="1"/>
  <c r="W326" i="20"/>
  <c r="X326" i="20" s="1"/>
  <c r="H42" i="5" s="1"/>
  <c r="X56" i="20"/>
  <c r="K30" i="5" s="1"/>
  <c r="W314" i="20"/>
  <c r="X314" i="20" s="1"/>
  <c r="F42" i="5" s="1"/>
  <c r="X8" i="20"/>
  <c r="C30" i="5" s="1"/>
  <c r="W170" i="20"/>
  <c r="X170" i="20" s="1"/>
  <c r="N34" i="5" s="1"/>
  <c r="W176" i="20"/>
  <c r="X176" i="20" s="1"/>
  <c r="O34" i="5" s="1"/>
  <c r="W194" i="20"/>
  <c r="X194" i="20" s="1"/>
  <c r="R34" i="5" s="1"/>
  <c r="X116" i="20"/>
  <c r="E34" i="5" s="1"/>
  <c r="W212" i="20"/>
  <c r="X212" i="20" s="1"/>
  <c r="E38" i="5" s="1"/>
  <c r="W446" i="20"/>
  <c r="X446" i="20" s="1"/>
  <c r="L46" i="5" s="1"/>
  <c r="W434" i="20"/>
  <c r="X434" i="20" s="1"/>
  <c r="J46" i="5" s="1"/>
  <c r="W266" i="20"/>
  <c r="X266" i="20" s="1"/>
  <c r="N38" i="5" s="1"/>
  <c r="W470" i="20"/>
  <c r="X470" i="20" s="1"/>
  <c r="P46" i="5" s="1"/>
  <c r="W260" i="20"/>
  <c r="X260" i="20" s="1"/>
  <c r="M38" i="5" s="1"/>
  <c r="W242" i="20"/>
  <c r="X242" i="20" s="1"/>
  <c r="J38" i="5" s="1"/>
  <c r="W428" i="20"/>
  <c r="X428" i="20" s="1"/>
  <c r="I46" i="5" s="1"/>
  <c r="W350" i="20"/>
  <c r="X350" i="20" s="1"/>
  <c r="L42" i="5" s="1"/>
  <c r="W320" i="20"/>
  <c r="X320" i="20" s="1"/>
  <c r="G42" i="5" s="1"/>
  <c r="X38" i="20"/>
  <c r="H30" i="5" s="1"/>
  <c r="W404" i="20"/>
  <c r="X404" i="20" s="1"/>
  <c r="E46" i="5" s="1"/>
  <c r="W236" i="20"/>
  <c r="X236" i="20" s="1"/>
  <c r="I38" i="5" s="1"/>
  <c r="X68" i="20"/>
  <c r="M30" i="5" s="1"/>
  <c r="X104" i="20"/>
  <c r="C34" i="5" s="1"/>
  <c r="X122" i="20"/>
  <c r="F34" i="5" s="1"/>
  <c r="X134" i="20"/>
  <c r="H34" i="5" s="1"/>
  <c r="W152" i="20"/>
  <c r="X152" i="20" s="1"/>
  <c r="K34" i="5" s="1"/>
  <c r="W158" i="20"/>
  <c r="X158" i="20" s="1"/>
  <c r="L34" i="5" s="1"/>
  <c r="F31" i="5"/>
  <c r="H31" i="5"/>
  <c r="I31" i="5"/>
  <c r="L35" i="5"/>
  <c r="D31" i="5"/>
  <c r="L47" i="5"/>
  <c r="J47" i="5"/>
  <c r="N39" i="5"/>
  <c r="P47" i="5"/>
  <c r="M39" i="5"/>
  <c r="R39" i="5"/>
  <c r="L43" i="5"/>
  <c r="G43" i="5"/>
  <c r="E47" i="5"/>
  <c r="I39" i="5"/>
  <c r="R31" i="5"/>
  <c r="Q35" i="5"/>
  <c r="D35" i="5"/>
  <c r="G35" i="5"/>
  <c r="I35" i="5"/>
  <c r="P39" i="5"/>
  <c r="Q43" i="5"/>
  <c r="H39" i="5"/>
  <c r="O43" i="5"/>
  <c r="C47" i="5"/>
  <c r="O47" i="5"/>
  <c r="G47" i="5"/>
  <c r="C43" i="5"/>
  <c r="L39" i="5"/>
  <c r="H47" i="5"/>
  <c r="H43" i="5"/>
  <c r="E43" i="5"/>
  <c r="F47" i="5"/>
  <c r="O35" i="5"/>
  <c r="R35" i="5"/>
  <c r="E35" i="5"/>
  <c r="E39" i="5"/>
  <c r="K39" i="5"/>
  <c r="R47" i="5"/>
  <c r="Q47" i="5"/>
  <c r="J43" i="5"/>
  <c r="J39" i="5"/>
  <c r="I47" i="5"/>
  <c r="D43" i="5"/>
  <c r="M47" i="5"/>
  <c r="I43" i="5"/>
  <c r="K43" i="5"/>
  <c r="Q31" i="5"/>
  <c r="C35" i="5"/>
  <c r="F35" i="5"/>
  <c r="H35" i="5"/>
  <c r="K35" i="5"/>
  <c r="F39" i="5"/>
  <c r="K47" i="5"/>
  <c r="Q39" i="5"/>
  <c r="N47" i="5"/>
  <c r="N43" i="5"/>
  <c r="D47" i="5"/>
  <c r="M43" i="5"/>
  <c r="G39" i="5"/>
  <c r="R43" i="5"/>
  <c r="O39" i="5"/>
  <c r="P43" i="5"/>
  <c r="F43" i="5"/>
  <c r="N35" i="5"/>
  <c r="P35" i="5"/>
  <c r="C39" i="5"/>
  <c r="D39" i="5"/>
  <c r="J35" i="5"/>
  <c r="G31" i="5"/>
  <c r="K31" i="5"/>
  <c r="C31" i="5"/>
  <c r="E31" i="5"/>
  <c r="L31" i="5"/>
  <c r="J31" i="5"/>
  <c r="N31" i="5"/>
  <c r="P31" i="5"/>
  <c r="M31" i="5"/>
  <c r="O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E9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補助金がある場合は、補助金の額（税抜、円）を半角数字で記入してください。</t>
        </r>
      </text>
    </comment>
    <comment ref="E11" authorId="1" shapeId="0" xr:uid="{8B101991-98E0-4B38-A7D0-3C342F00CB61}">
      <text>
        <r>
          <rPr>
            <b/>
            <sz val="10"/>
            <color indexed="10"/>
            <rFont val="MS P ゴシック"/>
            <family val="3"/>
            <charset val="128"/>
          </rPr>
          <t>譲渡価額について、
　　①従来の取得価額の10％を希望する場合　⇒「0.1（半角数字）」
　　②譲渡価額なしを希望される場合　⇒「0（半角数字）」
　　　　　　　　　　　　をプルダウンリストから選択してください。</t>
        </r>
      </text>
    </comment>
    <comment ref="E14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平成26年11月貸付け開始の場合
　   　　半角で「2014/11/1」と記入。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3FFB58F0-4004-4091-B15A-0C3FFF6D0902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00000000-0006-0000-02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0E5DA750-D803-44D8-9BB5-FD704C53A39A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E5461660-93A6-4DAC-A8C1-37083D9ECC7D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215ABFBD-9F4D-492A-B5B6-75666EB59AE3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DB8EB8E7-64D9-442D-8285-170CBAD43C81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ADA762A5-BDEB-4BB2-9B82-378D748C188C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A30665C1-73B3-4DAA-A1D2-940F1566E474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ACBC9CAE-263A-4873-93BA-D9AF59B708D3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A9B73AF0-7985-4DC5-868F-91F0AF77DA55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11B53764-95EF-4F88-B0F4-38B9E9CB2542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73448137-6EC9-4D5E-A260-99662579E289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21C8ECC1-EE5C-4195-9A0D-AA0D43A33D94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95D56ED8-6704-4AD9-AE63-23D31CA92872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9F21D077-514B-4624-9A0B-69CF17F527AD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6DDA44A6-C1BC-4012-AFAD-B6A39E429E78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E5829454-6B6D-4E61-B12A-845187302F5D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163E8466-6C73-4D6D-A2B4-26A160D7EE6C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813836A1-29F9-4126-A584-B29DF0494404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6A134E4F-CEB7-4396-97BA-4A3DC43CADDC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2888FD57-AE1F-4A17-AFC3-87B7086E01AB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2BF9F27F-8A79-43D0-B61B-CC1C88696B94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2709D4FD-52EE-4654-9F90-5FF78E7CB05D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D0F268E5-AE88-473A-AFCC-45C3B56838CC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508360ED-C588-4662-84C2-3F0207D09D35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D04B7372-4637-4ED6-BD26-8DE7547D1469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E1623D08-95A1-4A26-AB8C-8563C83413C9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27C624E2-78AC-45FA-B856-D76C56C0729A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0461650F-5BF4-44CA-9FA9-8B868301A862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ADD05E02-8707-4F00-B4DC-30C44793DB09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DAD5CCC7-8825-45B2-B767-68E4E11758A6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72B32C81-6C6C-4A33-B84F-D4BE3B1646C5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EE296B4C-3D99-498D-81F1-4923CF7AEE01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DC723514-0130-4DDA-B624-96283FF54DDB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C5C53DCF-23DD-4D22-9873-93F3C40F57C0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DBCFB5D0-FADA-4269-8EB0-8146FDF21ECB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B14A442F-B582-44CE-944C-AC7BAC3BB675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2A162745-72C5-4A3F-8463-92F0680C1F82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78BA763C-FB6E-4931-911C-541461917CB8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915664B8-00A8-4881-940C-73D30072DA29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DAB0B9C9-5A44-4083-80B0-6B7CA9F3712B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B9255C77-32AE-47AB-9F81-4AD0132E0C21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9AD221D9-C6E8-4CC4-AA94-46FA853F9ECD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0D72EE27-20D3-4215-B8DD-01651BB36236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F4AE0398-DFF1-4E4C-9D0E-DB870647A923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7E941F2E-AFBA-4128-BBD8-FAC41464D652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A541506B-F43B-41FC-9340-02EBFF756A69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29AB5FB7-D41C-4B89-B2C9-BBC77ED241F8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E1941BAA-83B9-4421-85E8-257FA586B250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F21E2BB7-0D06-4161-84EF-E0C27C317F62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C2FEBD8A-F8B3-46C8-8D05-CBC426DF2390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F841FFC2-1DE4-4AA3-AC1C-7659DB34A4A7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7FF567E6-C971-451F-BA34-EF357BDBB80E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5D138E99-5A72-49B7-8E32-8919B2C2DD04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4F238E52-5909-43F1-9774-3A34C01F5423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00084049-511D-472F-87B0-E56E0B792F22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CBAC0615-6E37-4F54-A674-9FE3E58716B5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yokokawa koji</author>
    <author>横川浩二</author>
  </authors>
  <commentList>
    <comment ref="D7" authorId="0" shapeId="0" xr:uid="{987FE3E2-00EE-42F6-A5B4-F8DA951C6021}">
      <text>
        <r>
          <rPr>
            <b/>
            <sz val="11"/>
            <color indexed="81"/>
            <rFont val="ＭＳ Ｐゴシック"/>
            <family val="3"/>
            <charset val="128"/>
          </rPr>
          <t>取得価額（税抜、円）を半角数字で記入してください。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1" shapeId="0" xr:uid="{6AE6D098-A197-4E94-B7B1-18BDE4F8854F}">
      <text>
        <r>
          <rPr>
            <b/>
            <sz val="10"/>
            <color indexed="81"/>
            <rFont val="MS P ゴシック"/>
            <family val="3"/>
            <charset val="128"/>
          </rPr>
          <t>譲渡価額について、
　　①従来の補助残取得価額の10％を希望する場合　⇒「0.1（半角数字）」
　　②譲渡価額なしを希望される場合　⇒「0（半角数字）」
　　　　　　　　　　　　　　　　　　　　　を記入してください。</t>
        </r>
      </text>
    </comment>
    <comment ref="D11" authorId="0" shapeId="0" xr:uid="{95CC3DF3-18E8-4D34-9DF7-5F581A104557}">
      <text>
        <r>
          <rPr>
            <b/>
            <sz val="11"/>
            <color indexed="81"/>
            <rFont val="ＭＳ Ｐゴシック"/>
            <family val="3"/>
            <charset val="128"/>
          </rPr>
          <t>貸付期間年数「4～9（半角数字）」を記入してください。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F565336D-5754-425F-9D9C-13BAFAD395F2}">
      <text>
        <r>
          <rPr>
            <b/>
            <sz val="11"/>
            <color indexed="81"/>
            <rFont val="ＭＳ Ｐゴシック"/>
            <family val="3"/>
            <charset val="128"/>
          </rPr>
          <t>貸付開始年月日のみ半角で記入してください。
   【例】　平成27年6月貸付け開始の場合
　   　　半角で「2015/6」と記入。</t>
        </r>
      </text>
    </comment>
    <comment ref="D13" authorId="0" shapeId="0" xr:uid="{61A2A5F7-6112-48F0-AEEC-6CFB271BAF30}">
      <text>
        <r>
          <rPr>
            <b/>
            <sz val="11"/>
            <color indexed="81"/>
            <rFont val="ＭＳ Ｐゴシック"/>
            <family val="3"/>
            <charset val="128"/>
          </rPr>
          <t>　右表に該当する機械施設の番号（1～7（半角数字））を記入してください。
【例】
　トラクターの場合 :「1（半角数字）」と記入。
  バルククーラーの場合：「4（半角数字）」と記入
   なお、動産保険料の計算が不要な場合は、記入しなくても構いません。
（この場合、計算書の動産保険料は、「α」と表示されます。）</t>
        </r>
      </text>
    </comment>
    <comment ref="C51" authorId="0" shapeId="0" xr:uid="{2713B252-4FB5-4EE6-89A3-06895629602C}">
      <text>
        <r>
          <rPr>
            <b/>
            <sz val="9"/>
            <color indexed="81"/>
            <rFont val="ＭＳ Ｐゴシック"/>
            <family val="3"/>
            <charset val="128"/>
          </rPr>
          <t>第１回目の支払貸付料＝購入価額　－　（第２回から最終まで＋譲渡価額）</t>
        </r>
      </text>
    </comment>
    <comment ref="D51" authorId="0" shapeId="0" xr:uid="{9950C332-481F-488E-AA65-EA442BD764AD}">
      <text>
        <r>
          <rPr>
            <b/>
            <sz val="9"/>
            <color indexed="81"/>
            <rFont val="ＭＳ Ｐゴシック"/>
            <family val="3"/>
            <charset val="128"/>
          </rPr>
          <t>=INT((補助残取得価額-譲渡価額)/（貸付年数*2）)　　にすべき
（補助残取得価額×0.9では１円ずれることあり）</t>
        </r>
      </text>
    </comment>
    <comment ref="D65" authorId="0" shapeId="0" xr:uid="{5F43173C-F201-4628-A1D8-3B40DC74DA81}">
      <text>
        <r>
          <rPr>
            <b/>
            <sz val="9"/>
            <color indexed="81"/>
            <rFont val="ＭＳ Ｐゴシック"/>
            <family val="3"/>
            <charset val="128"/>
          </rPr>
          <t>第1回目の支払い時の貸付月数に係る掛数</t>
        </r>
      </text>
    </comment>
    <comment ref="E65" authorId="0" shapeId="0" xr:uid="{4F3F0B16-06C9-4D85-AF28-496A7EDF4C27}">
      <text>
        <r>
          <rPr>
            <b/>
            <sz val="9"/>
            <color indexed="81"/>
            <rFont val="ＭＳ Ｐゴシック"/>
            <family val="3"/>
            <charset val="128"/>
          </rPr>
          <t>最終回の支払時の貸付月数に係る掛数</t>
        </r>
      </text>
    </comment>
    <comment ref="H65" authorId="0" shapeId="0" xr:uid="{BC9677D3-AE37-4FB5-8B61-587137358EE6}">
      <text>
        <r>
          <rPr>
            <b/>
            <sz val="9"/>
            <color indexed="81"/>
            <rFont val="ＭＳ Ｐゴシック"/>
            <family val="3"/>
            <charset val="128"/>
          </rPr>
          <t>貸付月が、４月、１０月のときは０、それ以外は１</t>
        </r>
      </text>
    </comment>
    <comment ref="I65" authorId="0" shapeId="0" xr:uid="{FA2DB237-0A15-41D8-8393-AA76E5923EE5}">
      <text>
        <r>
          <rPr>
            <b/>
            <sz val="9"/>
            <color indexed="81"/>
            <rFont val="ＭＳ Ｐゴシック"/>
            <family val="3"/>
            <charset val="128"/>
          </rPr>
          <t>支払回数</t>
        </r>
      </text>
    </comment>
  </commentList>
</comments>
</file>

<file path=xl/sharedStrings.xml><?xml version="1.0" encoding="utf-8"?>
<sst xmlns="http://schemas.openxmlformats.org/spreadsheetml/2006/main" count="1270" uniqueCount="202">
  <si>
    <t>月（貸付開始）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</si>
  <si>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</si>
  <si>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</si>
  <si>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</si>
  <si>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</si>
  <si>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</si>
  <si>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</si>
  <si>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</si>
  <si>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</si>
  <si>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</si>
  <si>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</si>
  <si>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</si>
  <si>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</si>
  <si>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t>13回目</t>
  </si>
  <si>
    <t>14回目</t>
  </si>
  <si>
    <t>15回目</t>
  </si>
  <si>
    <t>計</t>
  </si>
  <si>
    <t>残　債</t>
  </si>
  <si>
    <t>年</t>
    <rPh sb="0" eb="1">
      <t>ネン</t>
    </rPh>
    <phoneticPr fontId="17"/>
  </si>
  <si>
    <t>円</t>
    <rPh sb="0" eb="1">
      <t>エン</t>
    </rPh>
    <phoneticPr fontId="17"/>
  </si>
  <si>
    <t>○　貸付期間別残価率表</t>
    <rPh sb="2" eb="4">
      <t>カシツケ</t>
    </rPh>
    <rPh sb="4" eb="6">
      <t>キカン</t>
    </rPh>
    <rPh sb="6" eb="7">
      <t>ベツ</t>
    </rPh>
    <rPh sb="7" eb="9">
      <t>ザンカ</t>
    </rPh>
    <rPh sb="9" eb="10">
      <t>リツ</t>
    </rPh>
    <rPh sb="10" eb="11">
      <t>ヒョウ</t>
    </rPh>
    <phoneticPr fontId="17"/>
  </si>
  <si>
    <t>貸付期間（年）</t>
    <rPh sb="0" eb="2">
      <t>カシツケ</t>
    </rPh>
    <rPh sb="2" eb="4">
      <t>キカン</t>
    </rPh>
    <rPh sb="5" eb="6">
      <t>ネン</t>
    </rPh>
    <phoneticPr fontId="17"/>
  </si>
  <si>
    <t>残価率</t>
    <rPh sb="0" eb="2">
      <t>ザンカ</t>
    </rPh>
    <rPh sb="2" eb="3">
      <t>リツ</t>
    </rPh>
    <phoneticPr fontId="17"/>
  </si>
  <si>
    <t>支払済額の累計</t>
    <rPh sb="0" eb="2">
      <t>シハライ</t>
    </rPh>
    <rPh sb="2" eb="3">
      <t>ズ</t>
    </rPh>
    <rPh sb="3" eb="4">
      <t>ガク</t>
    </rPh>
    <rPh sb="5" eb="7">
      <t>ルイケイ</t>
    </rPh>
    <phoneticPr fontId="17"/>
  </si>
  <si>
    <t>貸付料の消費税</t>
    <rPh sb="0" eb="2">
      <t>カシツケ</t>
    </rPh>
    <rPh sb="2" eb="3">
      <t>リョウ</t>
    </rPh>
    <rPh sb="4" eb="7">
      <t>ショウヒゼイ</t>
    </rPh>
    <phoneticPr fontId="17"/>
  </si>
  <si>
    <t>附加貸付料</t>
    <rPh sb="0" eb="2">
      <t>フカ</t>
    </rPh>
    <rPh sb="2" eb="4">
      <t>カシツケ</t>
    </rPh>
    <rPh sb="4" eb="5">
      <t>リョウ</t>
    </rPh>
    <phoneticPr fontId="17"/>
  </si>
  <si>
    <t>譲渡価額</t>
    <rPh sb="0" eb="2">
      <t>ジョウト</t>
    </rPh>
    <rPh sb="2" eb="4">
      <t>カガク</t>
    </rPh>
    <phoneticPr fontId="17"/>
  </si>
  <si>
    <t>支払回次</t>
    <rPh sb="0" eb="2">
      <t>シハライ</t>
    </rPh>
    <rPh sb="2" eb="4">
      <t>カイジ</t>
    </rPh>
    <rPh sb="3" eb="4">
      <t>ジ</t>
    </rPh>
    <phoneticPr fontId="17"/>
  </si>
  <si>
    <t>貸付料支払額</t>
    <rPh sb="0" eb="2">
      <t>カシツケ</t>
    </rPh>
    <rPh sb="2" eb="3">
      <t>リョウ</t>
    </rPh>
    <rPh sb="3" eb="5">
      <t>シハライ</t>
    </rPh>
    <rPh sb="5" eb="6">
      <t>ガク</t>
    </rPh>
    <phoneticPr fontId="17"/>
  </si>
  <si>
    <t>～</t>
    <phoneticPr fontId="17"/>
  </si>
  <si>
    <t>末日納付</t>
    <rPh sb="0" eb="2">
      <t>マツジツ</t>
    </rPh>
    <rPh sb="2" eb="4">
      <t>ノウフ</t>
    </rPh>
    <phoneticPr fontId="17"/>
  </si>
  <si>
    <t>区　　分</t>
    <rPh sb="0" eb="1">
      <t>ク</t>
    </rPh>
    <rPh sb="3" eb="4">
      <t>ブン</t>
    </rPh>
    <phoneticPr fontId="17"/>
  </si>
  <si>
    <t>計</t>
    <rPh sb="0" eb="1">
      <t>ケイ</t>
    </rPh>
    <phoneticPr fontId="17"/>
  </si>
  <si>
    <t>基本貸付料</t>
    <rPh sb="0" eb="2">
      <t>キホン</t>
    </rPh>
    <rPh sb="2" eb="4">
      <t>カシツケ</t>
    </rPh>
    <rPh sb="4" eb="5">
      <t>リョウ</t>
    </rPh>
    <phoneticPr fontId="17"/>
  </si>
  <si>
    <t>信用保険料
の計</t>
    <rPh sb="0" eb="2">
      <t>シンヨウ</t>
    </rPh>
    <rPh sb="2" eb="4">
      <t>ホケン</t>
    </rPh>
    <rPh sb="4" eb="5">
      <t>リョウ</t>
    </rPh>
    <rPh sb="7" eb="8">
      <t>ケイ</t>
    </rPh>
    <phoneticPr fontId="17"/>
  </si>
  <si>
    <t>最終回の基本貸付料</t>
    <rPh sb="0" eb="2">
      <t>サイシュウ</t>
    </rPh>
    <rPh sb="2" eb="3">
      <t>カイ</t>
    </rPh>
    <rPh sb="4" eb="6">
      <t>キホン</t>
    </rPh>
    <rPh sb="6" eb="8">
      <t>カシツケ</t>
    </rPh>
    <rPh sb="8" eb="9">
      <t>リョウ</t>
    </rPh>
    <phoneticPr fontId="17"/>
  </si>
  <si>
    <t>基本貸付料の消費税</t>
    <rPh sb="0" eb="2">
      <t>キホン</t>
    </rPh>
    <rPh sb="2" eb="4">
      <t>カシツケ</t>
    </rPh>
    <rPh sb="4" eb="5">
      <t>リョウ</t>
    </rPh>
    <rPh sb="6" eb="9">
      <t>ショウヒゼイ</t>
    </rPh>
    <phoneticPr fontId="17"/>
  </si>
  <si>
    <t>基本貸付料（48行目の数字が「0」の場合、数字が入る。）</t>
    <rPh sb="0" eb="2">
      <t>キホン</t>
    </rPh>
    <rPh sb="2" eb="4">
      <t>カシツケ</t>
    </rPh>
    <rPh sb="4" eb="5">
      <t>リョウ</t>
    </rPh>
    <rPh sb="8" eb="9">
      <t>ギョウ</t>
    </rPh>
    <rPh sb="9" eb="10">
      <t>メ</t>
    </rPh>
    <rPh sb="11" eb="13">
      <t>スウジ</t>
    </rPh>
    <rPh sb="18" eb="20">
      <t>バアイ</t>
    </rPh>
    <rPh sb="21" eb="23">
      <t>スウジ</t>
    </rPh>
    <rPh sb="24" eb="25">
      <t>ハイ</t>
    </rPh>
    <phoneticPr fontId="17"/>
  </si>
  <si>
    <t>取得価額（税抜、円）　：　</t>
    <rPh sb="0" eb="2">
      <t>シュトク</t>
    </rPh>
    <rPh sb="2" eb="4">
      <t>カガク</t>
    </rPh>
    <rPh sb="5" eb="6">
      <t>ゼイ</t>
    </rPh>
    <rPh sb="6" eb="7">
      <t>ヌ</t>
    </rPh>
    <rPh sb="8" eb="9">
      <t>エン</t>
    </rPh>
    <phoneticPr fontId="17"/>
  </si>
  <si>
    <t>貸付期間（年数）　：　</t>
    <rPh sb="0" eb="2">
      <t>カシツケ</t>
    </rPh>
    <rPh sb="2" eb="4">
      <t>キカン</t>
    </rPh>
    <rPh sb="5" eb="7">
      <t>ネンスウ</t>
    </rPh>
    <phoneticPr fontId="17"/>
  </si>
  <si>
    <t>貸付期間（年月日）　：　</t>
    <rPh sb="0" eb="2">
      <t>カシツケ</t>
    </rPh>
    <rPh sb="2" eb="4">
      <t>キカン</t>
    </rPh>
    <rPh sb="5" eb="8">
      <t>ネンガッピ</t>
    </rPh>
    <phoneticPr fontId="17"/>
  </si>
  <si>
    <t>基本貸付料に係る
消費税額</t>
    <rPh sb="0" eb="2">
      <t>キホン</t>
    </rPh>
    <rPh sb="2" eb="4">
      <t>カシツケ</t>
    </rPh>
    <rPh sb="4" eb="5">
      <t>リョウ</t>
    </rPh>
    <rPh sb="6" eb="7">
      <t>カカ</t>
    </rPh>
    <rPh sb="12" eb="13">
      <t>ガク</t>
    </rPh>
    <phoneticPr fontId="17"/>
  </si>
  <si>
    <t>譲渡価額に係る
消費税額</t>
    <rPh sb="0" eb="2">
      <t>ジョウト</t>
    </rPh>
    <rPh sb="2" eb="4">
      <t>カガク</t>
    </rPh>
    <rPh sb="5" eb="6">
      <t>カカ</t>
    </rPh>
    <rPh sb="11" eb="12">
      <t>ガク</t>
    </rPh>
    <phoneticPr fontId="17"/>
  </si>
  <si>
    <t>信用保険料</t>
    <rPh sb="0" eb="2">
      <t>シンヨウ</t>
    </rPh>
    <phoneticPr fontId="17"/>
  </si>
  <si>
    <t>動産総合保険料</t>
    <rPh sb="0" eb="2">
      <t>ドウサン</t>
    </rPh>
    <rPh sb="2" eb="4">
      <t>ソウゴウ</t>
    </rPh>
    <phoneticPr fontId="17"/>
  </si>
  <si>
    <t>支払終了</t>
    <rPh sb="0" eb="2">
      <t>シハラ</t>
    </rPh>
    <rPh sb="2" eb="4">
      <t>シュウリョウ</t>
    </rPh>
    <phoneticPr fontId="17"/>
  </si>
  <si>
    <t>信用保険料</t>
    <rPh sb="4" eb="5">
      <t>リョウ</t>
    </rPh>
    <phoneticPr fontId="17"/>
  </si>
  <si>
    <t>附加貸付料＝</t>
    <rPh sb="0" eb="2">
      <t>フカ</t>
    </rPh>
    <rPh sb="2" eb="4">
      <t>カシツケ</t>
    </rPh>
    <rPh sb="4" eb="5">
      <t>リョウ</t>
    </rPh>
    <phoneticPr fontId="17"/>
  </si>
  <si>
    <t>（※新規に信用保険に加入した場合の計算です。既加入している場合は、別計算となります。）</t>
    <rPh sb="2" eb="4">
      <t>シンキ</t>
    </rPh>
    <rPh sb="5" eb="7">
      <t>シンヨウ</t>
    </rPh>
    <rPh sb="7" eb="9">
      <t>ホケン</t>
    </rPh>
    <rPh sb="10" eb="12">
      <t>カニュウ</t>
    </rPh>
    <rPh sb="14" eb="16">
      <t>バアイ</t>
    </rPh>
    <rPh sb="17" eb="19">
      <t>ケイサン</t>
    </rPh>
    <rPh sb="22" eb="23">
      <t>スデ</t>
    </rPh>
    <rPh sb="23" eb="25">
      <t>カニュウ</t>
    </rPh>
    <rPh sb="29" eb="31">
      <t>バアイ</t>
    </rPh>
    <rPh sb="33" eb="34">
      <t>ベツ</t>
    </rPh>
    <rPh sb="34" eb="36">
      <t>ケイサン</t>
    </rPh>
    <phoneticPr fontId="17"/>
  </si>
  <si>
    <t>　この支払リース料等計算書は、Excelを使用し、試算用に作成したものです。</t>
    <rPh sb="3" eb="5">
      <t>シハライ</t>
    </rPh>
    <rPh sb="8" eb="9">
      <t>リョウ</t>
    </rPh>
    <rPh sb="9" eb="10">
      <t>トウ</t>
    </rPh>
    <rPh sb="10" eb="13">
      <t>ケイサンショ</t>
    </rPh>
    <rPh sb="21" eb="23">
      <t>シヨウ</t>
    </rPh>
    <rPh sb="25" eb="27">
      <t>シサン</t>
    </rPh>
    <rPh sb="27" eb="28">
      <t>ヨウ</t>
    </rPh>
    <rPh sb="29" eb="31">
      <t>サクセイ</t>
    </rPh>
    <phoneticPr fontId="23"/>
  </si>
  <si>
    <t>公益財団法人畜産近代化リース協会</t>
    <rPh sb="0" eb="16">
      <t>ザイ</t>
    </rPh>
    <phoneticPr fontId="17"/>
  </si>
  <si>
    <t>【参考】　信用保険料（加入は任意。畜産関係施設リースのみ加入可。）の計算</t>
    <rPh sb="1" eb="3">
      <t>サンコウ</t>
    </rPh>
    <rPh sb="5" eb="7">
      <t>シンヨウ</t>
    </rPh>
    <rPh sb="7" eb="9">
      <t>ホケン</t>
    </rPh>
    <rPh sb="9" eb="10">
      <t>リョウ</t>
    </rPh>
    <rPh sb="11" eb="13">
      <t>カニュウ</t>
    </rPh>
    <rPh sb="14" eb="16">
      <t>ニンイ</t>
    </rPh>
    <rPh sb="17" eb="19">
      <t>チクサン</t>
    </rPh>
    <rPh sb="19" eb="21">
      <t>カンケイ</t>
    </rPh>
    <rPh sb="21" eb="23">
      <t>シセツ</t>
    </rPh>
    <rPh sb="28" eb="30">
      <t>カニュウ</t>
    </rPh>
    <rPh sb="30" eb="31">
      <t>カ</t>
    </rPh>
    <rPh sb="34" eb="36">
      <t>ケイサン</t>
    </rPh>
    <phoneticPr fontId="17"/>
  </si>
  <si>
    <r>
      <t xml:space="preserve">附加貸付料
</t>
    </r>
    <r>
      <rPr>
        <b/>
        <sz val="8"/>
        <color indexed="8"/>
        <rFont val="ＭＳ Ｐゴシック"/>
        <family val="3"/>
        <charset val="128"/>
      </rPr>
      <t xml:space="preserve">（畜産関係施設のみ）
</t>
    </r>
    <r>
      <rPr>
        <b/>
        <sz val="6"/>
        <color indexed="8"/>
        <rFont val="ＭＳ Ｐゴシック"/>
        <family val="3"/>
        <charset val="128"/>
      </rPr>
      <t>（乗馬・地方競馬用施設リースは無利子）</t>
    </r>
    <rPh sb="0" eb="2">
      <t>フカ</t>
    </rPh>
    <rPh sb="7" eb="9">
      <t>チクサン</t>
    </rPh>
    <rPh sb="9" eb="11">
      <t>カンケイ</t>
    </rPh>
    <rPh sb="11" eb="13">
      <t>シセツ</t>
    </rPh>
    <rPh sb="18" eb="20">
      <t>ジョウバ</t>
    </rPh>
    <rPh sb="21" eb="23">
      <t>チホウ</t>
    </rPh>
    <rPh sb="23" eb="26">
      <t>ケイバヨウ</t>
    </rPh>
    <rPh sb="26" eb="28">
      <t>シセツ</t>
    </rPh>
    <rPh sb="32" eb="35">
      <t>ムリシ</t>
    </rPh>
    <phoneticPr fontId="17"/>
  </si>
  <si>
    <t>～H26.3.31</t>
    <phoneticPr fontId="17"/>
  </si>
  <si>
    <t>消費税率</t>
    <rPh sb="0" eb="3">
      <t>ショウヒゼイ</t>
    </rPh>
    <rPh sb="3" eb="4">
      <t>リツ</t>
    </rPh>
    <phoneticPr fontId="17"/>
  </si>
  <si>
    <t>⇒</t>
    <phoneticPr fontId="17"/>
  </si>
  <si>
    <t>補償対象債権額（リース残債額）</t>
    <rPh sb="11" eb="13">
      <t>ザンサイ</t>
    </rPh>
    <rPh sb="13" eb="14">
      <t>ガク</t>
    </rPh>
    <phoneticPr fontId="17"/>
  </si>
  <si>
    <t>保険料計算の基となる額</t>
    <rPh sb="0" eb="2">
      <t>ホケン</t>
    </rPh>
    <rPh sb="2" eb="3">
      <t>リョウ</t>
    </rPh>
    <rPh sb="3" eb="5">
      <t>ケイサン</t>
    </rPh>
    <rPh sb="6" eb="7">
      <t>モト</t>
    </rPh>
    <rPh sb="10" eb="11">
      <t>ガク</t>
    </rPh>
    <phoneticPr fontId="17"/>
  </si>
  <si>
    <t>支払保険金額
（回収金0と仮定したとき）</t>
    <rPh sb="0" eb="2">
      <t>シハライ</t>
    </rPh>
    <rPh sb="2" eb="4">
      <t>ホケン</t>
    </rPh>
    <rPh sb="4" eb="6">
      <t>キンガク</t>
    </rPh>
    <rPh sb="8" eb="10">
      <t>カイシュウ</t>
    </rPh>
    <rPh sb="10" eb="11">
      <t>キン</t>
    </rPh>
    <rPh sb="13" eb="15">
      <t>カテイ</t>
    </rPh>
    <phoneticPr fontId="17"/>
  </si>
  <si>
    <t>補助金の額（税抜、円）　：　</t>
    <rPh sb="0" eb="3">
      <t>ホジョキン</t>
    </rPh>
    <rPh sb="4" eb="5">
      <t>ガク</t>
    </rPh>
    <rPh sb="6" eb="7">
      <t>ゼイ</t>
    </rPh>
    <rPh sb="7" eb="8">
      <t>ヌ</t>
    </rPh>
    <rPh sb="9" eb="10">
      <t>エン</t>
    </rPh>
    <phoneticPr fontId="17"/>
  </si>
  <si>
    <t>補助残取得価額（税抜、円）　：　</t>
    <rPh sb="0" eb="2">
      <t>ホジョ</t>
    </rPh>
    <rPh sb="2" eb="3">
      <t>ザン</t>
    </rPh>
    <rPh sb="3" eb="5">
      <t>シュトク</t>
    </rPh>
    <rPh sb="5" eb="7">
      <t>カガク</t>
    </rPh>
    <rPh sb="8" eb="9">
      <t>ゼイ</t>
    </rPh>
    <rPh sb="9" eb="10">
      <t>ヌ</t>
    </rPh>
    <rPh sb="11" eb="12">
      <t>エン</t>
    </rPh>
    <phoneticPr fontId="17"/>
  </si>
  <si>
    <r>
      <t>　ご使用に際しては、</t>
    </r>
    <r>
      <rPr>
        <b/>
        <sz val="14"/>
        <color indexed="10"/>
        <rFont val="ＭＳ Ｐゴシック"/>
        <family val="3"/>
        <charset val="128"/>
      </rPr>
      <t>「黄色で塗りつぶした部分（５箇所）」のみ</t>
    </r>
    <r>
      <rPr>
        <b/>
        <sz val="14"/>
        <color indexed="8"/>
        <rFont val="ＭＳ Ｐゴシック"/>
        <family val="3"/>
        <charset val="128"/>
      </rPr>
      <t>入力（すべて半角）してください。</t>
    </r>
    <rPh sb="2" eb="4">
      <t>シヨウ</t>
    </rPh>
    <rPh sb="5" eb="6">
      <t>サイ</t>
    </rPh>
    <rPh sb="11" eb="13">
      <t>キイロ</t>
    </rPh>
    <rPh sb="14" eb="15">
      <t>ヌ</t>
    </rPh>
    <rPh sb="20" eb="22">
      <t>ブブン</t>
    </rPh>
    <rPh sb="24" eb="26">
      <t>カショ</t>
    </rPh>
    <rPh sb="30" eb="32">
      <t>ニュウリョク</t>
    </rPh>
    <rPh sb="36" eb="38">
      <t>ハンカク</t>
    </rPh>
    <phoneticPr fontId="23"/>
  </si>
  <si>
    <t>（基本貸付料計＋譲渡価額）確認のため⇒</t>
    <rPh sb="1" eb="3">
      <t>キホン</t>
    </rPh>
    <rPh sb="3" eb="5">
      <t>カシツケ</t>
    </rPh>
    <rPh sb="5" eb="6">
      <t>リョウ</t>
    </rPh>
    <rPh sb="6" eb="7">
      <t>ケイ</t>
    </rPh>
    <rPh sb="8" eb="10">
      <t>ジョウト</t>
    </rPh>
    <rPh sb="10" eb="12">
      <t>カガク</t>
    </rPh>
    <rPh sb="13" eb="15">
      <t>カクニン</t>
    </rPh>
    <phoneticPr fontId="17"/>
  </si>
  <si>
    <t>動産総合保険の貸付機械施設の区分　：　</t>
    <rPh sb="0" eb="2">
      <t>ドウサン</t>
    </rPh>
    <rPh sb="2" eb="4">
      <t>ソウゴウ</t>
    </rPh>
    <rPh sb="4" eb="6">
      <t>ホケン</t>
    </rPh>
    <rPh sb="7" eb="9">
      <t>カシツケ</t>
    </rPh>
    <rPh sb="9" eb="11">
      <t>キカイ</t>
    </rPh>
    <rPh sb="11" eb="13">
      <t>シセツ</t>
    </rPh>
    <rPh sb="14" eb="16">
      <t>クブン</t>
    </rPh>
    <phoneticPr fontId="17"/>
  </si>
  <si>
    <t>●　支払リース料等計算書（補助付リースの場合）</t>
    <rPh sb="2" eb="4">
      <t>シハライ</t>
    </rPh>
    <rPh sb="7" eb="8">
      <t>リョウ</t>
    </rPh>
    <rPh sb="8" eb="9">
      <t>トウ</t>
    </rPh>
    <rPh sb="9" eb="12">
      <t>ケイサンショ</t>
    </rPh>
    <rPh sb="13" eb="15">
      <t>ホジョ</t>
    </rPh>
    <rPh sb="15" eb="16">
      <t>ツ</t>
    </rPh>
    <rPh sb="20" eb="22">
      <t>バアイ</t>
    </rPh>
    <phoneticPr fontId="17"/>
  </si>
  <si>
    <t>貸付開始日　：　</t>
    <rPh sb="0" eb="2">
      <t>カシツケ</t>
    </rPh>
    <rPh sb="2" eb="4">
      <t>カイシ</t>
    </rPh>
    <rPh sb="4" eb="5">
      <t>ビ</t>
    </rPh>
    <phoneticPr fontId="17"/>
  </si>
  <si>
    <t>第２回目</t>
    <rPh sb="0" eb="1">
      <t>ダイ</t>
    </rPh>
    <rPh sb="2" eb="4">
      <t>カイメ</t>
    </rPh>
    <phoneticPr fontId="17"/>
  </si>
  <si>
    <t>第３回目</t>
    <rPh sb="0" eb="1">
      <t>ダイ</t>
    </rPh>
    <rPh sb="2" eb="4">
      <t>カイメ</t>
    </rPh>
    <phoneticPr fontId="17"/>
  </si>
  <si>
    <t>第４回目</t>
    <rPh sb="0" eb="1">
      <t>ダイ</t>
    </rPh>
    <rPh sb="2" eb="4">
      <t>カイメ</t>
    </rPh>
    <phoneticPr fontId="17"/>
  </si>
  <si>
    <t>１か０（信用保険計算用）</t>
    <rPh sb="4" eb="6">
      <t>シンヨウ</t>
    </rPh>
    <rPh sb="6" eb="8">
      <t>ホケン</t>
    </rPh>
    <rPh sb="8" eb="10">
      <t>ケイサン</t>
    </rPh>
    <rPh sb="10" eb="11">
      <t>ヨウ</t>
    </rPh>
    <phoneticPr fontId="17"/>
  </si>
  <si>
    <t>【信用保険　保険金支払上限額及び保険期間　一覧】</t>
    <rPh sb="1" eb="3">
      <t>シンヨウ</t>
    </rPh>
    <rPh sb="3" eb="5">
      <t>ホケン</t>
    </rPh>
    <rPh sb="6" eb="9">
      <t>ホケンキン</t>
    </rPh>
    <rPh sb="9" eb="11">
      <t>シハラ</t>
    </rPh>
    <rPh sb="11" eb="13">
      <t>ジョウゲン</t>
    </rPh>
    <rPh sb="13" eb="14">
      <t>ガク</t>
    </rPh>
    <rPh sb="14" eb="15">
      <t>オヨ</t>
    </rPh>
    <rPh sb="16" eb="18">
      <t>ホケン</t>
    </rPh>
    <rPh sb="18" eb="20">
      <t>キカン</t>
    </rPh>
    <rPh sb="21" eb="23">
      <t>イチラン</t>
    </rPh>
    <phoneticPr fontId="17"/>
  </si>
  <si>
    <t>保険期間
（年）</t>
    <rPh sb="0" eb="2">
      <t>ホケン</t>
    </rPh>
    <rPh sb="2" eb="4">
      <t>キカン</t>
    </rPh>
    <rPh sb="6" eb="7">
      <t>ネン</t>
    </rPh>
    <phoneticPr fontId="17"/>
  </si>
  <si>
    <t>保険金支払
上限額（円）</t>
    <rPh sb="0" eb="3">
      <t>ホケンキン</t>
    </rPh>
    <rPh sb="3" eb="5">
      <t>シハラ</t>
    </rPh>
    <rPh sb="6" eb="8">
      <t>ジョウゲン</t>
    </rPh>
    <rPh sb="8" eb="9">
      <t>ガク</t>
    </rPh>
    <rPh sb="10" eb="11">
      <t>エン</t>
    </rPh>
    <phoneticPr fontId="17"/>
  </si>
  <si>
    <t>【最終貸付年月日に対応する保険金支払上限額及び保険期間】</t>
    <rPh sb="1" eb="3">
      <t>サイシュウ</t>
    </rPh>
    <rPh sb="3" eb="5">
      <t>カシツ</t>
    </rPh>
    <rPh sb="5" eb="8">
      <t>ネンガッピ</t>
    </rPh>
    <rPh sb="9" eb="11">
      <t>タイオウ</t>
    </rPh>
    <phoneticPr fontId="17"/>
  </si>
  <si>
    <t>貸付料等計算用⇒</t>
    <rPh sb="0" eb="2">
      <t>カシツケ</t>
    </rPh>
    <rPh sb="2" eb="3">
      <t>リョウ</t>
    </rPh>
    <rPh sb="3" eb="4">
      <t>トウ</t>
    </rPh>
    <rPh sb="4" eb="6">
      <t>ケイサン</t>
    </rPh>
    <rPh sb="6" eb="7">
      <t>ヨウ</t>
    </rPh>
    <phoneticPr fontId="17"/>
  </si>
  <si>
    <t>信用保険計算用⇒</t>
    <rPh sb="0" eb="2">
      <t>シンヨウ</t>
    </rPh>
    <rPh sb="2" eb="4">
      <t>ホケン</t>
    </rPh>
    <rPh sb="4" eb="6">
      <t>ケイサン</t>
    </rPh>
    <rPh sb="6" eb="7">
      <t>ヨウ</t>
    </rPh>
    <phoneticPr fontId="17"/>
  </si>
  <si>
    <t>【動産総合保険　保険料率】</t>
    <rPh sb="1" eb="3">
      <t>ドウサン</t>
    </rPh>
    <rPh sb="3" eb="5">
      <t>ソウゴウ</t>
    </rPh>
    <rPh sb="5" eb="7">
      <t>ホケン</t>
    </rPh>
    <rPh sb="8" eb="11">
      <t>ホケンリョウ</t>
    </rPh>
    <rPh sb="11" eb="12">
      <t>リツ</t>
    </rPh>
    <phoneticPr fontId="17"/>
  </si>
  <si>
    <t>貸付機械施設</t>
    <rPh sb="0" eb="2">
      <t>カシツケ</t>
    </rPh>
    <rPh sb="2" eb="4">
      <t>キカイ</t>
    </rPh>
    <rPh sb="4" eb="6">
      <t>シセツ</t>
    </rPh>
    <phoneticPr fontId="17"/>
  </si>
  <si>
    <t>保険料率
（保険金額千円につき）</t>
    <rPh sb="0" eb="3">
      <t>ホケンリョウ</t>
    </rPh>
    <rPh sb="3" eb="4">
      <t>リツ</t>
    </rPh>
    <rPh sb="6" eb="8">
      <t>ホケン</t>
    </rPh>
    <rPh sb="8" eb="10">
      <t>キンガク</t>
    </rPh>
    <rPh sb="10" eb="12">
      <t>センエン</t>
    </rPh>
    <phoneticPr fontId="17"/>
  </si>
  <si>
    <t>番号</t>
    <rPh sb="0" eb="2">
      <t>バンゴウ</t>
    </rPh>
    <phoneticPr fontId="17"/>
  </si>
  <si>
    <t>分類</t>
    <rPh sb="0" eb="2">
      <t>ブンルイ</t>
    </rPh>
    <phoneticPr fontId="17"/>
  </si>
  <si>
    <t>機械施設名</t>
    <rPh sb="0" eb="2">
      <t>キカイ</t>
    </rPh>
    <rPh sb="2" eb="4">
      <t>シセツ</t>
    </rPh>
    <rPh sb="4" eb="5">
      <t>メイ</t>
    </rPh>
    <phoneticPr fontId="17"/>
  </si>
  <si>
    <t>運搬用機械
（自走式のもの）</t>
    <rPh sb="0" eb="3">
      <t>ウンパンヨウ</t>
    </rPh>
    <rPh sb="3" eb="5">
      <t>キカイ</t>
    </rPh>
    <rPh sb="7" eb="10">
      <t>ジソウシキ</t>
    </rPh>
    <phoneticPr fontId="17"/>
  </si>
  <si>
    <t>ブルドーザー、トラクター、フォークリフト、動力運搬車、ショベルローダー、散水車、その他自走式機具類
（ただし、道路運送車両法に規定する登録、車両番号の指定又は市町村長交付の標識を受けるものは除く。）</t>
    <rPh sb="21" eb="23">
      <t>ドウリョク</t>
    </rPh>
    <rPh sb="23" eb="26">
      <t>ウンパンシャ</t>
    </rPh>
    <rPh sb="36" eb="39">
      <t>サンスイシャ</t>
    </rPh>
    <rPh sb="42" eb="43">
      <t>タ</t>
    </rPh>
    <rPh sb="43" eb="46">
      <t>ジソウシキ</t>
    </rPh>
    <rPh sb="46" eb="48">
      <t>キグ</t>
    </rPh>
    <rPh sb="48" eb="49">
      <t>ルイ</t>
    </rPh>
    <rPh sb="55" eb="57">
      <t>ドウロ</t>
    </rPh>
    <rPh sb="57" eb="59">
      <t>ウンソウ</t>
    </rPh>
    <rPh sb="59" eb="61">
      <t>シャリョウ</t>
    </rPh>
    <rPh sb="61" eb="62">
      <t>ホウ</t>
    </rPh>
    <rPh sb="63" eb="65">
      <t>キテイ</t>
    </rPh>
    <rPh sb="67" eb="69">
      <t>トウロク</t>
    </rPh>
    <rPh sb="70" eb="72">
      <t>シャリョウ</t>
    </rPh>
    <rPh sb="72" eb="74">
      <t>バンゴウ</t>
    </rPh>
    <rPh sb="75" eb="77">
      <t>シテイ</t>
    </rPh>
    <rPh sb="77" eb="78">
      <t>マタ</t>
    </rPh>
    <rPh sb="79" eb="81">
      <t>シチョウ</t>
    </rPh>
    <rPh sb="81" eb="83">
      <t>ソンチョウ</t>
    </rPh>
    <rPh sb="83" eb="85">
      <t>コウフ</t>
    </rPh>
    <rPh sb="86" eb="88">
      <t>ヒョウシキ</t>
    </rPh>
    <rPh sb="89" eb="90">
      <t>ウ</t>
    </rPh>
    <rPh sb="95" eb="96">
      <t>ノゾ</t>
    </rPh>
    <phoneticPr fontId="17"/>
  </si>
  <si>
    <t>精密電子機器</t>
    <rPh sb="0" eb="2">
      <t>セイミツ</t>
    </rPh>
    <rPh sb="2" eb="4">
      <t>デンシ</t>
    </rPh>
    <rPh sb="4" eb="6">
      <t>キキ</t>
    </rPh>
    <phoneticPr fontId="17"/>
  </si>
  <si>
    <t>電子計量器、電子式セリ機、電子式自動生乳検査機類</t>
    <rPh sb="0" eb="2">
      <t>デンシ</t>
    </rPh>
    <rPh sb="2" eb="5">
      <t>ケイリョウキ</t>
    </rPh>
    <rPh sb="6" eb="8">
      <t>デンシ</t>
    </rPh>
    <rPh sb="8" eb="9">
      <t>シキ</t>
    </rPh>
    <rPh sb="11" eb="12">
      <t>キ</t>
    </rPh>
    <rPh sb="13" eb="15">
      <t>デンシ</t>
    </rPh>
    <rPh sb="15" eb="16">
      <t>シキ</t>
    </rPh>
    <rPh sb="16" eb="18">
      <t>ジドウ</t>
    </rPh>
    <rPh sb="18" eb="20">
      <t>セイニュウ</t>
    </rPh>
    <rPh sb="20" eb="22">
      <t>ケンサ</t>
    </rPh>
    <rPh sb="22" eb="23">
      <t>キ</t>
    </rPh>
    <rPh sb="23" eb="24">
      <t>ルイ</t>
    </rPh>
    <phoneticPr fontId="17"/>
  </si>
  <si>
    <t>食肉・鶏卵処理関係機器
（「1」、「2」以外）</t>
    <rPh sb="0" eb="2">
      <t>ショクニク</t>
    </rPh>
    <rPh sb="3" eb="5">
      <t>ケイラン</t>
    </rPh>
    <rPh sb="5" eb="7">
      <t>ショリ</t>
    </rPh>
    <rPh sb="7" eb="9">
      <t>カンケイ</t>
    </rPh>
    <rPh sb="9" eb="11">
      <t>キキ</t>
    </rPh>
    <rPh sb="20" eb="22">
      <t>イガイ</t>
    </rPh>
    <phoneticPr fontId="17"/>
  </si>
  <si>
    <t>冷凍機、皮剥機、ベルトコンベアー、エアーナイフ、スライサー類</t>
    <rPh sb="0" eb="3">
      <t>レイトウキ</t>
    </rPh>
    <rPh sb="4" eb="5">
      <t>カワ</t>
    </rPh>
    <rPh sb="5" eb="6">
      <t>ハ</t>
    </rPh>
    <rPh sb="6" eb="7">
      <t>キ</t>
    </rPh>
    <rPh sb="29" eb="30">
      <t>ルイ</t>
    </rPh>
    <phoneticPr fontId="17"/>
  </si>
  <si>
    <t>上記1,2,3以外の機器</t>
    <rPh sb="0" eb="2">
      <t>ジョウキ</t>
    </rPh>
    <rPh sb="7" eb="9">
      <t>イガイ</t>
    </rPh>
    <rPh sb="10" eb="12">
      <t>キキ</t>
    </rPh>
    <phoneticPr fontId="17"/>
  </si>
  <si>
    <t>据付固定式のもの</t>
    <rPh sb="0" eb="2">
      <t>スエツケ</t>
    </rPh>
    <rPh sb="2" eb="4">
      <t>コテイ</t>
    </rPh>
    <rPh sb="4" eb="5">
      <t>シキ</t>
    </rPh>
    <phoneticPr fontId="17"/>
  </si>
  <si>
    <t>バルククーラー、搾乳ロボット、パイプラインミルカー、ミルキングパーラー、孵卵器、保存器、カーテン巻上げ機、簡易式厩舎、その他据置固定式のもの</t>
    <rPh sb="8" eb="10">
      <t>サクニュウ</t>
    </rPh>
    <rPh sb="36" eb="39">
      <t>フランキ</t>
    </rPh>
    <rPh sb="40" eb="42">
      <t>ホゾン</t>
    </rPh>
    <rPh sb="42" eb="43">
      <t>キ</t>
    </rPh>
    <rPh sb="48" eb="49">
      <t>マ</t>
    </rPh>
    <rPh sb="49" eb="50">
      <t>ア</t>
    </rPh>
    <rPh sb="51" eb="52">
      <t>キ</t>
    </rPh>
    <rPh sb="53" eb="55">
      <t>カンイ</t>
    </rPh>
    <rPh sb="55" eb="56">
      <t>シキ</t>
    </rPh>
    <rPh sb="56" eb="58">
      <t>キュウシャ</t>
    </rPh>
    <rPh sb="61" eb="62">
      <t>タ</t>
    </rPh>
    <rPh sb="62" eb="64">
      <t>スエオキ</t>
    </rPh>
    <rPh sb="64" eb="66">
      <t>コテイ</t>
    </rPh>
    <rPh sb="66" eb="67">
      <t>シキ</t>
    </rPh>
    <phoneticPr fontId="17"/>
  </si>
  <si>
    <t>据付固定以外のもの</t>
    <rPh sb="0" eb="2">
      <t>スエツケ</t>
    </rPh>
    <rPh sb="2" eb="4">
      <t>コテイ</t>
    </rPh>
    <rPh sb="4" eb="6">
      <t>イガイ</t>
    </rPh>
    <phoneticPr fontId="17"/>
  </si>
  <si>
    <t>プラウ、ハロー、ブロードキャスター、ハーベスター、フロントローダー、ロールベーラー、ベールグラブ、ラッピングマシン、パケットミルカー、その他据置固定式以外のもの</t>
    <rPh sb="69" eb="70">
      <t>タ</t>
    </rPh>
    <rPh sb="70" eb="72">
      <t>スエオキ</t>
    </rPh>
    <rPh sb="72" eb="74">
      <t>コテイ</t>
    </rPh>
    <rPh sb="74" eb="75">
      <t>シキ</t>
    </rPh>
    <rPh sb="75" eb="77">
      <t>イガイ</t>
    </rPh>
    <phoneticPr fontId="17"/>
  </si>
  <si>
    <r>
      <t>上記1～5以外の</t>
    </r>
    <r>
      <rPr>
        <sz val="10"/>
        <color indexed="10"/>
        <rFont val="ＭＳ Ｐゴシック"/>
        <family val="3"/>
        <charset val="128"/>
      </rPr>
      <t>競馬関係の機器</t>
    </r>
    <rPh sb="0" eb="2">
      <t>ジョウキ</t>
    </rPh>
    <rPh sb="5" eb="7">
      <t>イガイ</t>
    </rPh>
    <rPh sb="8" eb="10">
      <t>ケイバ</t>
    </rPh>
    <rPh sb="10" eb="12">
      <t>カンケイ</t>
    </rPh>
    <rPh sb="13" eb="15">
      <t>キキ</t>
    </rPh>
    <phoneticPr fontId="17"/>
  </si>
  <si>
    <t>複合投票システム装置、オッズ盤、発馬機、ターフビジョン装置、中型映像装置類</t>
    <rPh sb="0" eb="2">
      <t>フクゴウ</t>
    </rPh>
    <rPh sb="2" eb="4">
      <t>トウヒョウ</t>
    </rPh>
    <rPh sb="8" eb="10">
      <t>ソウチ</t>
    </rPh>
    <rPh sb="14" eb="15">
      <t>バン</t>
    </rPh>
    <rPh sb="16" eb="18">
      <t>ハツバ</t>
    </rPh>
    <rPh sb="18" eb="19">
      <t>キ</t>
    </rPh>
    <rPh sb="27" eb="29">
      <t>ソウチ</t>
    </rPh>
    <rPh sb="30" eb="32">
      <t>チュウガタ</t>
    </rPh>
    <rPh sb="32" eb="34">
      <t>エイゾウ</t>
    </rPh>
    <rPh sb="34" eb="36">
      <t>ソウチ</t>
    </rPh>
    <rPh sb="36" eb="37">
      <t>ルイ</t>
    </rPh>
    <phoneticPr fontId="17"/>
  </si>
  <si>
    <t>これらの装置のうち据置固定式以外のもの</t>
    <rPh sb="4" eb="6">
      <t>ソウチ</t>
    </rPh>
    <rPh sb="9" eb="11">
      <t>スエオキ</t>
    </rPh>
    <rPh sb="11" eb="13">
      <t>コテイ</t>
    </rPh>
    <rPh sb="13" eb="14">
      <t>シキ</t>
    </rPh>
    <rPh sb="14" eb="16">
      <t>イガイ</t>
    </rPh>
    <phoneticPr fontId="17"/>
  </si>
  <si>
    <t>支払合計額</t>
    <phoneticPr fontId="17"/>
  </si>
  <si>
    <t>　「1」か「0」</t>
    <phoneticPr fontId="17"/>
  </si>
  <si>
    <t>１か０（貸付料等計算用）</t>
    <rPh sb="4" eb="6">
      <t>カシツケ</t>
    </rPh>
    <rPh sb="6" eb="7">
      <t>リョウ</t>
    </rPh>
    <rPh sb="7" eb="8">
      <t>トウ</t>
    </rPh>
    <rPh sb="8" eb="11">
      <t>ケイサンヨウ</t>
    </rPh>
    <phoneticPr fontId="17"/>
  </si>
  <si>
    <t>　「1」か「0」</t>
    <phoneticPr fontId="17"/>
  </si>
  <si>
    <t>信用保険計算用⇒</t>
    <rPh sb="0" eb="2">
      <t>シンヨウ</t>
    </rPh>
    <rPh sb="2" eb="4">
      <t>ホケン</t>
    </rPh>
    <rPh sb="4" eb="7">
      <t>ケイサンヨウ</t>
    </rPh>
    <phoneticPr fontId="17"/>
  </si>
  <si>
    <t>最終貸付年月日</t>
    <phoneticPr fontId="17"/>
  </si>
  <si>
    <t>保険金支払上限額（円）</t>
    <rPh sb="0" eb="3">
      <t>ホケンキン</t>
    </rPh>
    <rPh sb="3" eb="5">
      <t>シハラ</t>
    </rPh>
    <rPh sb="5" eb="7">
      <t>ジョウゲン</t>
    </rPh>
    <rPh sb="7" eb="8">
      <t>ガク</t>
    </rPh>
    <rPh sb="9" eb="10">
      <t>エン</t>
    </rPh>
    <phoneticPr fontId="17"/>
  </si>
  <si>
    <t>⇒</t>
    <phoneticPr fontId="17"/>
  </si>
  <si>
    <t>【信用保険料　一覧】</t>
    <rPh sb="1" eb="3">
      <t>シンヨウ</t>
    </rPh>
    <rPh sb="3" eb="5">
      <t>ホケン</t>
    </rPh>
    <rPh sb="5" eb="6">
      <t>リョウ</t>
    </rPh>
    <rPh sb="7" eb="9">
      <t>イチラン</t>
    </rPh>
    <phoneticPr fontId="17"/>
  </si>
  <si>
    <t>納期</t>
    <rPh sb="0" eb="2">
      <t>ノウキ</t>
    </rPh>
    <phoneticPr fontId="17"/>
  </si>
  <si>
    <t>第１回目</t>
    <rPh sb="0" eb="1">
      <t>ダイ</t>
    </rPh>
    <rPh sb="2" eb="4">
      <t>カイメ</t>
    </rPh>
    <phoneticPr fontId="17"/>
  </si>
  <si>
    <t>第５回目</t>
    <rPh sb="0" eb="1">
      <t>ダイ</t>
    </rPh>
    <rPh sb="2" eb="4">
      <t>カイメ</t>
    </rPh>
    <phoneticPr fontId="17"/>
  </si>
  <si>
    <t>第６回目</t>
    <rPh sb="0" eb="1">
      <t>ダイ</t>
    </rPh>
    <rPh sb="2" eb="4">
      <t>カイメ</t>
    </rPh>
    <phoneticPr fontId="17"/>
  </si>
  <si>
    <t>第７回目</t>
    <rPh sb="0" eb="1">
      <t>ダイ</t>
    </rPh>
    <rPh sb="2" eb="4">
      <t>カイメ</t>
    </rPh>
    <phoneticPr fontId="17"/>
  </si>
  <si>
    <t>第８回目</t>
    <rPh sb="0" eb="1">
      <t>ダイ</t>
    </rPh>
    <rPh sb="2" eb="4">
      <t>カイメ</t>
    </rPh>
    <phoneticPr fontId="17"/>
  </si>
  <si>
    <t>第９回目</t>
    <rPh sb="0" eb="1">
      <t>ダイ</t>
    </rPh>
    <rPh sb="2" eb="4">
      <t>カイメ</t>
    </rPh>
    <phoneticPr fontId="17"/>
  </si>
  <si>
    <t>第１０回目</t>
    <rPh sb="0" eb="1">
      <t>ダイ</t>
    </rPh>
    <rPh sb="3" eb="5">
      <t>カイメ</t>
    </rPh>
    <phoneticPr fontId="17"/>
  </si>
  <si>
    <t>第１１回目</t>
    <rPh sb="0" eb="1">
      <t>ダイ</t>
    </rPh>
    <rPh sb="3" eb="5">
      <t>カイメ</t>
    </rPh>
    <phoneticPr fontId="17"/>
  </si>
  <si>
    <t>第１２回目</t>
    <rPh sb="0" eb="1">
      <t>ダイ</t>
    </rPh>
    <rPh sb="3" eb="5">
      <t>カイメ</t>
    </rPh>
    <phoneticPr fontId="17"/>
  </si>
  <si>
    <t>第１３回目</t>
    <rPh sb="0" eb="1">
      <t>ダイ</t>
    </rPh>
    <rPh sb="3" eb="5">
      <t>カイメ</t>
    </rPh>
    <phoneticPr fontId="17"/>
  </si>
  <si>
    <t>第１４回目</t>
    <rPh sb="0" eb="1">
      <t>ダイ</t>
    </rPh>
    <rPh sb="3" eb="5">
      <t>カイメ</t>
    </rPh>
    <phoneticPr fontId="17"/>
  </si>
  <si>
    <t>第１５回目</t>
    <rPh sb="0" eb="1">
      <t>ダイ</t>
    </rPh>
    <rPh sb="3" eb="5">
      <t>カイメ</t>
    </rPh>
    <phoneticPr fontId="17"/>
  </si>
  <si>
    <t>第１６回目</t>
    <rPh sb="0" eb="1">
      <t>ダイ</t>
    </rPh>
    <rPh sb="3" eb="5">
      <t>カイメ</t>
    </rPh>
    <phoneticPr fontId="17"/>
  </si>
  <si>
    <t>第１７回目</t>
    <rPh sb="0" eb="1">
      <t>ダイ</t>
    </rPh>
    <rPh sb="3" eb="5">
      <t>カイメ</t>
    </rPh>
    <phoneticPr fontId="17"/>
  </si>
  <si>
    <t>第１８回目</t>
    <rPh sb="0" eb="1">
      <t>ダイ</t>
    </rPh>
    <rPh sb="3" eb="5">
      <t>カイメ</t>
    </rPh>
    <phoneticPr fontId="17"/>
  </si>
  <si>
    <t>第１９回目</t>
    <rPh sb="0" eb="1">
      <t>ダイ</t>
    </rPh>
    <rPh sb="3" eb="5">
      <t>カイメ</t>
    </rPh>
    <phoneticPr fontId="17"/>
  </si>
  <si>
    <t>信用保険計算上の日付</t>
    <rPh sb="0" eb="2">
      <t>シンヨウ</t>
    </rPh>
    <rPh sb="2" eb="4">
      <t>ホケン</t>
    </rPh>
    <rPh sb="4" eb="6">
      <t>ケイサン</t>
    </rPh>
    <rPh sb="6" eb="7">
      <t>ジョウ</t>
    </rPh>
    <rPh sb="8" eb="10">
      <t>ヒヅケ</t>
    </rPh>
    <phoneticPr fontId="17"/>
  </si>
  <si>
    <t>年　　　月</t>
    <rPh sb="0" eb="1">
      <t>ネン</t>
    </rPh>
    <rPh sb="4" eb="5">
      <t>ゲツ</t>
    </rPh>
    <phoneticPr fontId="17"/>
  </si>
  <si>
    <t>信用保険計算上の年月</t>
    <rPh sb="0" eb="2">
      <t>シンヨウ</t>
    </rPh>
    <rPh sb="2" eb="4">
      <t>ホケン</t>
    </rPh>
    <rPh sb="4" eb="6">
      <t>ケイサン</t>
    </rPh>
    <rPh sb="6" eb="7">
      <t>ジョウ</t>
    </rPh>
    <rPh sb="8" eb="10">
      <t>ネンゲツ</t>
    </rPh>
    <phoneticPr fontId="17"/>
  </si>
  <si>
    <t>↓</t>
    <phoneticPr fontId="17"/>
  </si>
  <si>
    <t>最終の信用保険
加入日</t>
    <rPh sb="0" eb="2">
      <t>サイシュウ</t>
    </rPh>
    <rPh sb="3" eb="5">
      <t>シンヨウ</t>
    </rPh>
    <rPh sb="5" eb="7">
      <t>ホケン</t>
    </rPh>
    <rPh sb="8" eb="10">
      <t>カニュウ</t>
    </rPh>
    <rPh sb="10" eb="11">
      <t>ヒ</t>
    </rPh>
    <phoneticPr fontId="17"/>
  </si>
  <si>
    <t>保険期間
（最長年）</t>
    <rPh sb="0" eb="2">
      <t>ホケン</t>
    </rPh>
    <rPh sb="2" eb="4">
      <t>キカン</t>
    </rPh>
    <rPh sb="6" eb="8">
      <t>サイチョウ</t>
    </rPh>
    <rPh sb="8" eb="9">
      <t>ネン</t>
    </rPh>
    <phoneticPr fontId="17"/>
  </si>
  <si>
    <t>※　この最終の信用保険加入日により、信用保険料の支払上限額、最長の保険期間が、次のように変更されますので、それに伴って信用保険料も変更されることがあります。</t>
    <rPh sb="4" eb="6">
      <t>サイシュウ</t>
    </rPh>
    <rPh sb="7" eb="9">
      <t>シンヨウ</t>
    </rPh>
    <rPh sb="9" eb="11">
      <t>ホケン</t>
    </rPh>
    <rPh sb="11" eb="13">
      <t>カニュウ</t>
    </rPh>
    <rPh sb="13" eb="14">
      <t>ビ</t>
    </rPh>
    <rPh sb="18" eb="20">
      <t>シンヨウ</t>
    </rPh>
    <rPh sb="20" eb="22">
      <t>ホケン</t>
    </rPh>
    <rPh sb="22" eb="23">
      <t>リョウ</t>
    </rPh>
    <rPh sb="24" eb="26">
      <t>シハラ</t>
    </rPh>
    <rPh sb="26" eb="29">
      <t>ジョウゲンガク</t>
    </rPh>
    <rPh sb="30" eb="32">
      <t>サイチョウ</t>
    </rPh>
    <rPh sb="33" eb="35">
      <t>ホケン</t>
    </rPh>
    <rPh sb="35" eb="37">
      <t>キカン</t>
    </rPh>
    <rPh sb="39" eb="40">
      <t>ツギ</t>
    </rPh>
    <rPh sb="44" eb="46">
      <t>ヘンコウ</t>
    </rPh>
    <rPh sb="56" eb="57">
      <t>トモナ</t>
    </rPh>
    <rPh sb="59" eb="61">
      <t>シンヨウ</t>
    </rPh>
    <rPh sb="61" eb="63">
      <t>ホケン</t>
    </rPh>
    <rPh sb="63" eb="64">
      <t>リョウ</t>
    </rPh>
    <rPh sb="65" eb="67">
      <t>ヘンコウ</t>
    </rPh>
    <phoneticPr fontId="17"/>
  </si>
  <si>
    <t>第１回目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</si>
  <si>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第２回目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</si>
  <si>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第３回目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</si>
  <si>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第４回目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</si>
  <si>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第５回目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</si>
  <si>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第６回目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</si>
  <si>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第1回貸付けに係る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</si>
  <si>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第2回貸付けに係る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</si>
  <si>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第3回貸付けに係る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</si>
  <si>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第4回貸付けに係る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</si>
  <si>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第5回貸付けに係る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</si>
  <si>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第6回貸付けに係る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</si>
  <si>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t>最終貸付
年月日</t>
    <phoneticPr fontId="17"/>
  </si>
  <si>
    <t>半期ごとの信用保険料額（円）</t>
    <rPh sb="12" eb="13">
      <t>エン</t>
    </rPh>
    <phoneticPr fontId="17"/>
  </si>
  <si>
    <t>加入日</t>
    <rPh sb="0" eb="2">
      <t>カニュウ</t>
    </rPh>
    <rPh sb="2" eb="3">
      <t>ビ</t>
    </rPh>
    <phoneticPr fontId="17"/>
  </si>
  <si>
    <t>計↓</t>
    <rPh sb="0" eb="1">
      <t>ケイ</t>
    </rPh>
    <phoneticPr fontId="17"/>
  </si>
  <si>
    <t>第７回目
信保加入</t>
    <rPh sb="0" eb="1">
      <t>ダイ</t>
    </rPh>
    <rPh sb="2" eb="4">
      <t>カイメ</t>
    </rPh>
    <rPh sb="5" eb="7">
      <t>ノブヤス</t>
    </rPh>
    <rPh sb="7" eb="9">
      <t>カニュウ</t>
    </rPh>
    <phoneticPr fontId="17"/>
  </si>
  <si>
    <t>第7回貸付けに係る
補償対象債権額
（リース残債額）</t>
    <rPh sb="0" eb="1">
      <t>ダイ</t>
    </rPh>
    <rPh sb="2" eb="3">
      <t>カイ</t>
    </rPh>
    <rPh sb="3" eb="5">
      <t>カシ</t>
    </rPh>
    <phoneticPr fontId="17"/>
  </si>
  <si>
    <r>
      <t>　　しかし、最終の信用保険加入日の前にすでに支払った保険料の額</t>
    </r>
    <r>
      <rPr>
        <b/>
        <sz val="14"/>
        <color indexed="17"/>
        <rFont val="HGS創英角ﾎﾟｯﾌﾟ体"/>
        <family val="3"/>
        <charset val="128"/>
      </rPr>
      <t>（緑色セル部分）</t>
    </r>
    <r>
      <rPr>
        <b/>
        <sz val="14"/>
        <color indexed="8"/>
        <rFont val="ＭＳ Ｐゴシック"/>
        <family val="3"/>
        <charset val="128"/>
      </rPr>
      <t>は、変更ありません。</t>
    </r>
    <rPh sb="6" eb="8">
      <t>サイシュウ</t>
    </rPh>
    <rPh sb="9" eb="11">
      <t>シンヨウ</t>
    </rPh>
    <rPh sb="11" eb="13">
      <t>ホケン</t>
    </rPh>
    <rPh sb="13" eb="15">
      <t>カニュウ</t>
    </rPh>
    <rPh sb="15" eb="16">
      <t>ビ</t>
    </rPh>
    <rPh sb="17" eb="18">
      <t>マエ</t>
    </rPh>
    <rPh sb="22" eb="24">
      <t>シハラ</t>
    </rPh>
    <rPh sb="26" eb="29">
      <t>ホケンリョウ</t>
    </rPh>
    <rPh sb="30" eb="31">
      <t>ガク</t>
    </rPh>
    <rPh sb="32" eb="34">
      <t>ミドリイロ</t>
    </rPh>
    <rPh sb="36" eb="38">
      <t>ブブン</t>
    </rPh>
    <phoneticPr fontId="17"/>
  </si>
  <si>
    <t>信用保険の保険期間終了日　：　</t>
    <rPh sb="0" eb="2">
      <t>シンヨウ</t>
    </rPh>
    <rPh sb="2" eb="4">
      <t>ホケン</t>
    </rPh>
    <rPh sb="5" eb="7">
      <t>ホケン</t>
    </rPh>
    <rPh sb="7" eb="9">
      <t>キカン</t>
    </rPh>
    <rPh sb="9" eb="11">
      <t>シュウリョウ</t>
    </rPh>
    <rPh sb="11" eb="12">
      <t>ヒ</t>
    </rPh>
    <phoneticPr fontId="17"/>
  </si>
  <si>
    <t>貸付額（税抜、円）　：　</t>
    <rPh sb="0" eb="2">
      <t>カシツ</t>
    </rPh>
    <rPh sb="2" eb="3">
      <t>ガク</t>
    </rPh>
    <rPh sb="4" eb="5">
      <t>ゼイ</t>
    </rPh>
    <rPh sb="5" eb="6">
      <t>ヌ</t>
    </rPh>
    <rPh sb="7" eb="8">
      <t>エン</t>
    </rPh>
    <phoneticPr fontId="17"/>
  </si>
  <si>
    <t>　この信用保険料等計算書は、Excelを使用し、試算用に作成したものです。</t>
    <rPh sb="3" eb="5">
      <t>シンヨウ</t>
    </rPh>
    <rPh sb="5" eb="7">
      <t>ホケン</t>
    </rPh>
    <rPh sb="7" eb="8">
      <t>リョウ</t>
    </rPh>
    <rPh sb="8" eb="9">
      <t>トウ</t>
    </rPh>
    <phoneticPr fontId="17"/>
  </si>
  <si>
    <r>
      <rPr>
        <b/>
        <sz val="11"/>
        <color indexed="8"/>
        <rFont val="ＭＳ Ｐゴシック"/>
        <family val="3"/>
        <charset val="128"/>
      </rPr>
      <t>各時点における支払保険金額（円）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（貸付施設に係る回収金がなかったと仮定したとき）</t>
    </r>
    <rPh sb="0" eb="3">
      <t>カクジテン</t>
    </rPh>
    <rPh sb="7" eb="9">
      <t>シハラ</t>
    </rPh>
    <rPh sb="9" eb="11">
      <t>ホケン</t>
    </rPh>
    <rPh sb="11" eb="13">
      <t>キンガク</t>
    </rPh>
    <rPh sb="14" eb="15">
      <t>エン</t>
    </rPh>
    <rPh sb="18" eb="20">
      <t>カシツケ</t>
    </rPh>
    <rPh sb="20" eb="22">
      <t>シセツ</t>
    </rPh>
    <rPh sb="23" eb="24">
      <t>カカ</t>
    </rPh>
    <rPh sb="25" eb="27">
      <t>カイシュウ</t>
    </rPh>
    <rPh sb="27" eb="28">
      <t>キン</t>
    </rPh>
    <rPh sb="34" eb="36">
      <t>カテイ</t>
    </rPh>
    <phoneticPr fontId="17"/>
  </si>
  <si>
    <t>H31.10.1～</t>
    <phoneticPr fontId="17"/>
  </si>
  <si>
    <t>H26.4.1～H31.9.30</t>
    <phoneticPr fontId="17"/>
  </si>
  <si>
    <t>【参考】　消費税率　　H26.4.1～H31.9.30　 ⇒　8%
　　　　　　　　　　　　 　H31.10.1～　　　　　　⇒　10％</t>
    <rPh sb="1" eb="3">
      <t>サンコウ</t>
    </rPh>
    <rPh sb="5" eb="8">
      <t>ショウヒゼイ</t>
    </rPh>
    <rPh sb="8" eb="9">
      <t>リツ</t>
    </rPh>
    <phoneticPr fontId="17"/>
  </si>
  <si>
    <t>リース残債額　月ごとの計
（補償対象債権額）</t>
    <rPh sb="3" eb="5">
      <t>ザンサイ</t>
    </rPh>
    <rPh sb="5" eb="6">
      <t>ガク</t>
    </rPh>
    <rPh sb="7" eb="8">
      <t>ツキ</t>
    </rPh>
    <rPh sb="11" eb="12">
      <t>ケイ</t>
    </rPh>
    <rPh sb="14" eb="16">
      <t>ホショウ</t>
    </rPh>
    <rPh sb="16" eb="18">
      <t>タイショウ</t>
    </rPh>
    <rPh sb="18" eb="20">
      <t>サイケン</t>
    </rPh>
    <rPh sb="20" eb="21">
      <t>ガク</t>
    </rPh>
    <phoneticPr fontId="17"/>
  </si>
  <si>
    <t>改訂版</t>
    <rPh sb="0" eb="3">
      <t>カイテイバン</t>
    </rPh>
    <phoneticPr fontId="17"/>
  </si>
  <si>
    <t>貸付件数</t>
    <rPh sb="0" eb="2">
      <t>カシツ</t>
    </rPh>
    <rPh sb="2" eb="4">
      <t>ケンスウ</t>
    </rPh>
    <phoneticPr fontId="17"/>
  </si>
  <si>
    <t>信用保険料算出基礎額</t>
    <rPh sb="0" eb="2">
      <t>シンヨウ</t>
    </rPh>
    <rPh sb="2" eb="5">
      <t>ホケンリョウ</t>
    </rPh>
    <rPh sb="5" eb="7">
      <t>サンシュツ</t>
    </rPh>
    <rPh sb="7" eb="9">
      <t>キソ</t>
    </rPh>
    <rPh sb="9" eb="10">
      <t>ガク</t>
    </rPh>
    <phoneticPr fontId="17"/>
  </si>
  <si>
    <t>適用する
加入日</t>
    <rPh sb="0" eb="2">
      <t>テキヨウ</t>
    </rPh>
    <rPh sb="5" eb="7">
      <t>カニュウ</t>
    </rPh>
    <rPh sb="7" eb="8">
      <t>ビ</t>
    </rPh>
    <phoneticPr fontId="17"/>
  </si>
  <si>
    <t>半期ごとの
信用保険料額</t>
    <rPh sb="0" eb="2">
      <t>ハンキ</t>
    </rPh>
    <rPh sb="6" eb="8">
      <t>シンヨウ</t>
    </rPh>
    <rPh sb="8" eb="11">
      <t>ホケンリョウ</t>
    </rPh>
    <rPh sb="11" eb="12">
      <t>ガク</t>
    </rPh>
    <phoneticPr fontId="17"/>
  </si>
  <si>
    <t>月ごとの
保険料額</t>
    <rPh sb="0" eb="1">
      <t>ツキ</t>
    </rPh>
    <rPh sb="5" eb="8">
      <t>ホケンリョウ</t>
    </rPh>
    <rPh sb="8" eb="9">
      <t>ガク</t>
    </rPh>
    <phoneticPr fontId="17"/>
  </si>
  <si>
    <t>縮小率90⇒95％。　2000万超の保証もあり</t>
    <rPh sb="0" eb="2">
      <t>シュクショウ</t>
    </rPh>
    <rPh sb="2" eb="3">
      <t>リツ</t>
    </rPh>
    <rPh sb="15" eb="16">
      <t>マン</t>
    </rPh>
    <rPh sb="16" eb="17">
      <t>コ</t>
    </rPh>
    <rPh sb="18" eb="20">
      <t>ホショウ</t>
    </rPh>
    <phoneticPr fontId="17"/>
  </si>
  <si>
    <t>譲渡価額（税抜、円）　：　</t>
    <phoneticPr fontId="17"/>
  </si>
  <si>
    <r>
      <rPr>
        <b/>
        <sz val="8"/>
        <color rgb="FF000000"/>
        <rFont val="ＭＳ Ｐゴシック"/>
        <family val="3"/>
        <charset val="128"/>
      </rPr>
      <t>（補助残取得価額に対する）</t>
    </r>
    <r>
      <rPr>
        <b/>
        <sz val="12"/>
        <color indexed="8"/>
        <rFont val="ＭＳ Ｐゴシック"/>
        <family val="3"/>
        <charset val="128"/>
      </rPr>
      <t>譲渡価額（税抜、円）　：　</t>
    </r>
    <rPh sb="1" eb="4">
      <t>ホジョザン</t>
    </rPh>
    <rPh sb="4" eb="8">
      <t>シュトク</t>
    </rPh>
    <rPh sb="9" eb="10">
      <t>タイ</t>
    </rPh>
    <phoneticPr fontId="17"/>
  </si>
  <si>
    <r>
      <t>　ご使用に際しては、貸付中の施設について、加入時ごとに、</t>
    </r>
    <r>
      <rPr>
        <b/>
        <sz val="14"/>
        <color indexed="10"/>
        <rFont val="ＭＳ Ｐゴシック"/>
        <family val="3"/>
        <charset val="128"/>
      </rPr>
      <t>「黄色で塗りつぶした部分（５箇所）」</t>
    </r>
    <r>
      <rPr>
        <b/>
        <sz val="14"/>
        <color indexed="8"/>
        <rFont val="ＭＳ Ｐゴシック"/>
        <family val="3"/>
        <charset val="128"/>
      </rPr>
      <t>を入力（すべて半角）してください。</t>
    </r>
    <rPh sb="10" eb="12">
      <t>カシツケ</t>
    </rPh>
    <rPh sb="12" eb="13">
      <t>チュウ</t>
    </rPh>
    <rPh sb="14" eb="16">
      <t>シセツ</t>
    </rPh>
    <rPh sb="21" eb="23">
      <t>カニュウ</t>
    </rPh>
    <rPh sb="23" eb="24">
      <t>ジ</t>
    </rPh>
    <phoneticPr fontId="17"/>
  </si>
  <si>
    <t>～R4.3.31</t>
    <phoneticPr fontId="17"/>
  </si>
  <si>
    <t>附加貸付料率</t>
    <rPh sb="0" eb="6">
      <t>フカカシツケリョウリツ</t>
    </rPh>
    <phoneticPr fontId="17"/>
  </si>
  <si>
    <t>R4.4.1～</t>
    <phoneticPr fontId="17"/>
  </si>
  <si>
    <t>譲渡価額について、取得価額の10％とした場合は「0.1」を、
ゼロとした場合は「0」を記入　⇒</t>
    <rPh sb="9" eb="13">
      <t>シュトク</t>
    </rPh>
    <rPh sb="20" eb="22">
      <t>バアイ</t>
    </rPh>
    <rPh sb="36" eb="38">
      <t>バアイ</t>
    </rPh>
    <rPh sb="43" eb="45">
      <t>キニュウ</t>
    </rPh>
    <phoneticPr fontId="17"/>
  </si>
  <si>
    <r>
      <t>★　信用保険料等計算書　</t>
    </r>
    <r>
      <rPr>
        <b/>
        <sz val="22"/>
        <color indexed="10"/>
        <rFont val="ＭＳ Ｐゴシック"/>
        <family val="3"/>
        <charset val="128"/>
      </rPr>
      <t>【</t>
    </r>
    <r>
      <rPr>
        <b/>
        <u/>
        <sz val="26"/>
        <color indexed="10"/>
        <rFont val="ＭＳ Ｐゴシック"/>
        <family val="3"/>
        <charset val="128"/>
      </rPr>
      <t xml:space="preserve">支払保険金上限額2,000万用】  </t>
    </r>
    <r>
      <rPr>
        <b/>
        <u/>
        <sz val="26"/>
        <color rgb="FFFF0000"/>
        <rFont val="ＭＳ Ｐゴシック"/>
        <family val="3"/>
        <charset val="128"/>
      </rPr>
      <t>R4.4.1</t>
    </r>
    <r>
      <rPr>
        <b/>
        <u/>
        <sz val="22"/>
        <color rgb="FFFF0000"/>
        <rFont val="ＭＳ Ｐゴシック"/>
        <family val="3"/>
        <charset val="128"/>
      </rPr>
      <t>改定</t>
    </r>
    <r>
      <rPr>
        <b/>
        <sz val="22"/>
        <color indexed="8"/>
        <rFont val="ＭＳ Ｐゴシック"/>
        <family val="3"/>
        <charset val="128"/>
      </rPr>
      <t>（料率 0.48%版）</t>
    </r>
    <rPh sb="2" eb="4">
      <t>シンヨウ</t>
    </rPh>
    <rPh sb="4" eb="6">
      <t>ホケン</t>
    </rPh>
    <rPh sb="6" eb="7">
      <t>リョウ</t>
    </rPh>
    <rPh sb="7" eb="8">
      <t>トウ</t>
    </rPh>
    <rPh sb="8" eb="11">
      <t>ケイサンショ</t>
    </rPh>
    <rPh sb="13" eb="15">
      <t>シハラ</t>
    </rPh>
    <rPh sb="15" eb="18">
      <t>ホケンキン</t>
    </rPh>
    <rPh sb="18" eb="20">
      <t>ジョウゲン</t>
    </rPh>
    <rPh sb="20" eb="21">
      <t>ガク</t>
    </rPh>
    <rPh sb="27" eb="28">
      <t>ヨウ</t>
    </rPh>
    <rPh sb="37" eb="39">
      <t>カイテイ</t>
    </rPh>
    <rPh sb="40" eb="42">
      <t>リョウリツ</t>
    </rPh>
    <rPh sb="48" eb="49">
      <t>ハン</t>
    </rPh>
    <phoneticPr fontId="17"/>
  </si>
  <si>
    <t>区　　分</t>
  </si>
  <si>
    <t>末日納付</t>
  </si>
  <si>
    <t>基本貸付料</t>
  </si>
  <si>
    <t>基本貸付料に係る
消費税額</t>
  </si>
  <si>
    <t>譲渡価額</t>
  </si>
  <si>
    <t>譲渡価額に係る
消費税額</t>
  </si>
  <si>
    <t>附加貸付料
（畜産関係施設のみ）
（乗馬・地方競馬用施設リースは無利子）</t>
  </si>
  <si>
    <t>動産総合保険料</t>
  </si>
  <si>
    <t>支払合計額</t>
  </si>
  <si>
    <t>【参考】　信用保険料（加入は任意。畜産関係施設リースのみ加入可。）の計算</t>
  </si>
  <si>
    <t>（※新規に信用保険に加入した場合の計算です。既加入している場合は、別計算となります。）</t>
  </si>
  <si>
    <t>補償対象債権額（リース残債額）</t>
  </si>
  <si>
    <t>信用保険料
の計</t>
  </si>
  <si>
    <t>保険料計算の基となる額</t>
  </si>
  <si>
    <t>信用保険料</t>
  </si>
  <si>
    <t>支払保険金額
（回収金0と仮定したとき）</t>
  </si>
  <si>
    <t>附加貸付料＝</t>
  </si>
  <si>
    <t>（基本貸付料計＋譲渡価額）確認のため⇒</t>
  </si>
  <si>
    <t>支払回次</t>
  </si>
  <si>
    <t>１か０（信用保険計算用）</t>
  </si>
  <si>
    <t>　「1」か「0」</t>
  </si>
  <si>
    <t>１か０（貸付料等計算用）</t>
  </si>
  <si>
    <t>支払済額の累計</t>
  </si>
  <si>
    <t>貸付料支払額</t>
  </si>
  <si>
    <t>基本貸付料（48行目の数字が「0」の場合、数字が入る。）</t>
  </si>
  <si>
    <t>貸付料の消費税</t>
  </si>
  <si>
    <t>基本貸付料の消費税</t>
  </si>
  <si>
    <t>附加貸付料</t>
  </si>
  <si>
    <t>最終回の基本貸付料</t>
  </si>
  <si>
    <t>信用保険計算用⇒</t>
  </si>
  <si>
    <t>貸付料等計算用⇒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</si>
</sst>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000;[Red]\-#,##0.0000"/>
    <numFmt numFmtId="177" formatCode="&quot;第&quot;#&quot;回&quot;"/>
    <numFmt numFmtId="178" formatCode="yyyy&quot;年&quot;m&quot;月&quot;;@"/>
    <numFmt numFmtId="179" formatCode="[$-411]ggge&quot;年&quot;m&quot;月&quot;d&quot;日&quot;;@"/>
    <numFmt numFmtId="180" formatCode="#&quot;月&quot;"/>
    <numFmt numFmtId="181" formatCode="[$-411]gge&quot;年&quot;m&quot;月&quot;"/>
    <numFmt numFmtId="182" formatCode="0.0%"/>
    <numFmt numFmtId="183" formatCode="[$-411]ge\.m\.d;@"/>
    <numFmt numFmtId="184" formatCode="#,##0.00000;[Red]\-#,##0.00000"/>
    <numFmt numFmtId="185" formatCode="#,###"/>
    <numFmt numFmtId="186" formatCode="yyyy/m/d;@"/>
    <numFmt numFmtId="187" formatCode="0.0"/>
    <numFmt numFmtId="188" formatCode="#,##0.000;[Red]\-#,##0.000"/>
    <numFmt numFmtId="189" formatCode="#,##0.0"/>
    <numFmt numFmtId="190" formatCode="#,##0.00_);[Red]\(#,##0.00\)"/>
  </numFmts>
  <fonts count="6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color indexed="17"/>
      <name val="HGS創英角ﾎﾟｯﾌﾟ体"/>
      <family val="3"/>
      <charset val="128"/>
    </font>
    <font>
      <b/>
      <sz val="9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u/>
      <sz val="26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u/>
      <sz val="26"/>
      <color rgb="FFFF0000"/>
      <name val="ＭＳ Ｐゴシック"/>
      <family val="3"/>
      <charset val="128"/>
    </font>
    <font>
      <b/>
      <u/>
      <sz val="22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slantDashDot">
        <color rgb="FF00B0F0"/>
      </right>
      <top/>
      <bottom/>
      <diagonal/>
    </border>
    <border>
      <left style="slantDashDot">
        <color rgb="FF00B0F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0" xfId="0" applyAlignment="1" applyProtection="1">
      <alignment vertical="center" wrapText="1"/>
    </xf>
    <xf numFmtId="0" fontId="49" fillId="0" borderId="0" xfId="0" applyFont="1" applyAlignment="1" applyProtection="1">
      <alignment vertical="center" wrapText="1"/>
    </xf>
    <xf numFmtId="0" fontId="49" fillId="0" borderId="0" xfId="0" applyFont="1" applyAlignment="1" applyProtection="1">
      <alignment horizontal="right" vertical="center" wrapText="1"/>
    </xf>
    <xf numFmtId="0" fontId="50" fillId="0" borderId="0" xfId="0" applyFont="1" applyAlignment="1" applyProtection="1">
      <alignment vertical="center" wrapText="1"/>
    </xf>
    <xf numFmtId="38" fontId="22" fillId="0" borderId="0" xfId="33" applyFont="1" applyAlignment="1" applyProtection="1">
      <alignment horizontal="left" vertical="center"/>
    </xf>
    <xf numFmtId="177" fontId="51" fillId="15" borderId="10" xfId="0" applyNumberFormat="1" applyFont="1" applyFill="1" applyBorder="1" applyAlignment="1" applyProtection="1">
      <alignment horizontal="center" vertical="center" wrapText="1"/>
    </xf>
    <xf numFmtId="177" fontId="51" fillId="15" borderId="11" xfId="0" applyNumberFormat="1" applyFont="1" applyFill="1" applyBorder="1" applyAlignment="1" applyProtection="1">
      <alignment horizontal="center" vertical="center" wrapText="1"/>
    </xf>
    <xf numFmtId="177" fontId="51" fillId="15" borderId="12" xfId="0" applyNumberFormat="1" applyFont="1" applyFill="1" applyBorder="1" applyAlignment="1" applyProtection="1">
      <alignment horizontal="center" vertical="center" wrapText="1"/>
    </xf>
    <xf numFmtId="178" fontId="32" fillId="15" borderId="13" xfId="0" applyNumberFormat="1" applyFont="1" applyFill="1" applyBorder="1" applyAlignment="1" applyProtection="1">
      <alignment horizontal="center" vertical="top" wrapText="1"/>
    </xf>
    <xf numFmtId="178" fontId="32" fillId="15" borderId="14" xfId="0" applyNumberFormat="1" applyFont="1" applyFill="1" applyBorder="1" applyAlignment="1" applyProtection="1">
      <alignment horizontal="center" vertical="top" wrapText="1"/>
    </xf>
    <xf numFmtId="178" fontId="32" fillId="15" borderId="15" xfId="0" applyNumberFormat="1" applyFont="1" applyFill="1" applyBorder="1" applyAlignment="1" applyProtection="1">
      <alignment horizontal="center" vertical="top" wrapText="1"/>
    </xf>
    <xf numFmtId="0" fontId="52" fillId="0" borderId="0" xfId="0" applyFont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38" fontId="0" fillId="0" borderId="0" xfId="34" applyFont="1" applyProtection="1">
      <alignment vertical="center"/>
    </xf>
    <xf numFmtId="3" fontId="26" fillId="16" borderId="16" xfId="34" applyNumberFormat="1" applyFont="1" applyFill="1" applyBorder="1" applyProtection="1">
      <alignment vertical="center"/>
    </xf>
    <xf numFmtId="38" fontId="26" fillId="16" borderId="16" xfId="34" applyFont="1" applyFill="1" applyBorder="1" applyAlignment="1" applyProtection="1">
      <alignment horizontal="right" vertical="center"/>
    </xf>
    <xf numFmtId="38" fontId="20" fillId="0" borderId="0" xfId="34" applyFont="1" applyProtection="1">
      <alignment vertical="center"/>
    </xf>
    <xf numFmtId="38" fontId="22" fillId="0" borderId="0" xfId="34" applyFont="1" applyAlignment="1" applyProtection="1">
      <alignment horizontal="right" vertical="center"/>
    </xf>
    <xf numFmtId="38" fontId="22" fillId="0" borderId="0" xfId="34" applyFont="1" applyAlignment="1" applyProtection="1">
      <alignment horizontal="left" vertical="center"/>
    </xf>
    <xf numFmtId="38" fontId="22" fillId="0" borderId="0" xfId="34" applyFont="1" applyProtection="1">
      <alignment vertical="center"/>
    </xf>
    <xf numFmtId="38" fontId="22" fillId="0" borderId="0" xfId="34" applyFont="1" applyBorder="1" applyAlignment="1" applyProtection="1">
      <alignment horizontal="right" vertical="center"/>
    </xf>
    <xf numFmtId="38" fontId="22" fillId="0" borderId="0" xfId="34" applyFont="1" applyFill="1" applyBorder="1" applyAlignment="1" applyProtection="1">
      <alignment horizontal="right" vertical="center"/>
    </xf>
    <xf numFmtId="38" fontId="0" fillId="0" borderId="0" xfId="34" applyFont="1" applyAlignment="1" applyProtection="1">
      <alignment horizontal="center" vertical="center"/>
    </xf>
    <xf numFmtId="38" fontId="21" fillId="0" borderId="16" xfId="34" applyFont="1" applyBorder="1" applyAlignment="1" applyProtection="1">
      <alignment horizontal="center" vertical="center"/>
    </xf>
    <xf numFmtId="38" fontId="21" fillId="0" borderId="16" xfId="34" applyFont="1" applyBorder="1" applyAlignment="1" applyProtection="1">
      <alignment horizontal="center" vertical="center" wrapText="1"/>
    </xf>
    <xf numFmtId="38" fontId="26" fillId="17" borderId="16" xfId="34" applyFont="1" applyFill="1" applyBorder="1" applyAlignment="1" applyProtection="1">
      <alignment horizontal="center" vertical="center"/>
    </xf>
    <xf numFmtId="40" fontId="21" fillId="0" borderId="17" xfId="34" applyNumberFormat="1" applyFont="1" applyBorder="1" applyAlignment="1" applyProtection="1">
      <alignment horizontal="right" vertical="center"/>
    </xf>
    <xf numFmtId="38" fontId="21" fillId="0" borderId="18" xfId="34" applyFont="1" applyBorder="1" applyAlignment="1" applyProtection="1">
      <alignment horizontal="left" vertical="center"/>
    </xf>
    <xf numFmtId="38" fontId="26" fillId="17" borderId="19" xfId="34" applyFont="1" applyFill="1" applyBorder="1" applyAlignment="1" applyProtection="1">
      <alignment horizontal="center" vertical="center"/>
    </xf>
    <xf numFmtId="38" fontId="21" fillId="0" borderId="12" xfId="34" applyFont="1" applyBorder="1" applyAlignment="1" applyProtection="1">
      <alignment vertical="center" wrapText="1"/>
    </xf>
    <xf numFmtId="40" fontId="21" fillId="0" borderId="20" xfId="34" applyNumberFormat="1" applyFont="1" applyBorder="1" applyAlignment="1" applyProtection="1">
      <alignment horizontal="right" vertical="center"/>
    </xf>
    <xf numFmtId="38" fontId="21" fillId="0" borderId="21" xfId="34" applyFont="1" applyBorder="1" applyAlignment="1" applyProtection="1">
      <alignment horizontal="left" vertical="center"/>
    </xf>
    <xf numFmtId="38" fontId="26" fillId="17" borderId="22" xfId="34" applyFont="1" applyFill="1" applyBorder="1" applyAlignment="1" applyProtection="1">
      <alignment horizontal="center" vertical="center"/>
    </xf>
    <xf numFmtId="38" fontId="21" fillId="0" borderId="23" xfId="34" applyFont="1" applyBorder="1" applyAlignment="1" applyProtection="1">
      <alignment vertical="center" wrapText="1"/>
    </xf>
    <xf numFmtId="40" fontId="21" fillId="0" borderId="24" xfId="34" applyNumberFormat="1" applyFont="1" applyBorder="1" applyAlignment="1" applyProtection="1">
      <alignment horizontal="right" vertical="center"/>
    </xf>
    <xf numFmtId="38" fontId="21" fillId="0" borderId="25" xfId="34" applyFont="1" applyBorder="1" applyAlignment="1" applyProtection="1">
      <alignment horizontal="left" vertical="center"/>
    </xf>
    <xf numFmtId="38" fontId="21" fillId="0" borderId="0" xfId="34" applyFont="1" applyFill="1" applyBorder="1" applyAlignment="1" applyProtection="1">
      <alignment horizontal="center" vertical="center"/>
    </xf>
    <xf numFmtId="38" fontId="21" fillId="0" borderId="0" xfId="34" applyFont="1" applyBorder="1" applyAlignment="1" applyProtection="1">
      <alignment horizontal="left" vertical="center" wrapText="1"/>
    </xf>
    <xf numFmtId="40" fontId="21" fillId="0" borderId="0" xfId="34" applyNumberFormat="1" applyFont="1" applyBorder="1" applyAlignment="1" applyProtection="1">
      <alignment horizontal="right" vertical="center"/>
    </xf>
    <xf numFmtId="38" fontId="21" fillId="0" borderId="0" xfId="34" applyFont="1" applyBorder="1" applyAlignment="1" applyProtection="1">
      <alignment horizontal="left" vertical="center"/>
    </xf>
    <xf numFmtId="38" fontId="20" fillId="0" borderId="0" xfId="34" applyFont="1" applyAlignment="1" applyProtection="1">
      <alignment horizontal="center" vertical="center"/>
    </xf>
    <xf numFmtId="38" fontId="20" fillId="0" borderId="0" xfId="34" applyFont="1" applyBorder="1" applyAlignment="1" applyProtection="1">
      <alignment horizontal="center" vertical="center"/>
    </xf>
    <xf numFmtId="38" fontId="20" fillId="0" borderId="0" xfId="34" applyFont="1" applyFill="1" applyAlignment="1" applyProtection="1">
      <alignment horizontal="center" vertical="center"/>
    </xf>
    <xf numFmtId="38" fontId="26" fillId="0" borderId="0" xfId="34" applyFont="1" applyFill="1" applyAlignment="1" applyProtection="1">
      <alignment horizontal="center" vertical="center"/>
    </xf>
    <xf numFmtId="181" fontId="32" fillId="15" borderId="26" xfId="0" applyNumberFormat="1" applyFont="1" applyFill="1" applyBorder="1" applyAlignment="1" applyProtection="1">
      <alignment horizontal="center" wrapText="1"/>
    </xf>
    <xf numFmtId="181" fontId="32" fillId="15" borderId="27" xfId="0" applyNumberFormat="1" applyFont="1" applyFill="1" applyBorder="1" applyAlignment="1" applyProtection="1">
      <alignment horizontal="center" wrapText="1"/>
    </xf>
    <xf numFmtId="181" fontId="32" fillId="15" borderId="28" xfId="0" applyNumberFormat="1" applyFont="1" applyFill="1" applyBorder="1" applyAlignment="1" applyProtection="1">
      <alignment horizontal="center" wrapText="1"/>
    </xf>
    <xf numFmtId="38" fontId="13" fillId="15" borderId="19" xfId="34" applyFont="1" applyFill="1" applyBorder="1" applyAlignment="1" applyProtection="1">
      <alignment horizontal="center" vertical="center"/>
    </xf>
    <xf numFmtId="38" fontId="13" fillId="0" borderId="10" xfId="34" applyFont="1" applyFill="1" applyBorder="1" applyProtection="1">
      <alignment vertical="center"/>
    </xf>
    <xf numFmtId="38" fontId="13" fillId="0" borderId="11" xfId="34" applyFont="1" applyFill="1" applyBorder="1" applyProtection="1">
      <alignment vertical="center"/>
    </xf>
    <xf numFmtId="38" fontId="13" fillId="0" borderId="12" xfId="34" applyFont="1" applyFill="1" applyBorder="1" applyProtection="1">
      <alignment vertical="center"/>
    </xf>
    <xf numFmtId="38" fontId="13" fillId="15" borderId="19" xfId="34" applyFont="1" applyFill="1" applyBorder="1" applyProtection="1">
      <alignment vertical="center"/>
    </xf>
    <xf numFmtId="38" fontId="30" fillId="15" borderId="22" xfId="34" applyFont="1" applyFill="1" applyBorder="1" applyAlignment="1" applyProtection="1">
      <alignment horizontal="center" vertical="center" wrapText="1"/>
    </xf>
    <xf numFmtId="38" fontId="13" fillId="0" borderId="29" xfId="34" applyFont="1" applyFill="1" applyBorder="1" applyProtection="1">
      <alignment vertical="center"/>
    </xf>
    <xf numFmtId="38" fontId="13" fillId="0" borderId="23" xfId="34" applyFont="1" applyFill="1" applyBorder="1" applyProtection="1">
      <alignment vertical="center"/>
    </xf>
    <xf numFmtId="38" fontId="13" fillId="15" borderId="22" xfId="34" applyFont="1" applyFill="1" applyBorder="1" applyProtection="1">
      <alignment vertical="center"/>
    </xf>
    <xf numFmtId="38" fontId="13" fillId="0" borderId="30" xfId="34" applyFont="1" applyFill="1" applyBorder="1" applyProtection="1">
      <alignment vertical="center"/>
    </xf>
    <xf numFmtId="38" fontId="13" fillId="15" borderId="16" xfId="34" applyFont="1" applyFill="1" applyBorder="1" applyAlignment="1" applyProtection="1">
      <alignment horizontal="center" vertical="center" wrapText="1"/>
    </xf>
    <xf numFmtId="38" fontId="13" fillId="0" borderId="31" xfId="34" applyFont="1" applyFill="1" applyBorder="1" applyProtection="1">
      <alignment vertical="center"/>
    </xf>
    <xf numFmtId="38" fontId="13" fillId="0" borderId="32" xfId="34" applyFont="1" applyFill="1" applyBorder="1" applyProtection="1">
      <alignment vertical="center"/>
    </xf>
    <xf numFmtId="38" fontId="13" fillId="0" borderId="33" xfId="34" applyFont="1" applyFill="1" applyBorder="1" applyProtection="1">
      <alignment vertical="center"/>
    </xf>
    <xf numFmtId="38" fontId="13" fillId="15" borderId="16" xfId="34" applyFont="1" applyFill="1" applyBorder="1" applyProtection="1">
      <alignment vertical="center"/>
    </xf>
    <xf numFmtId="38" fontId="32" fillId="15" borderId="16" xfId="34" applyFont="1" applyFill="1" applyBorder="1" applyAlignment="1" applyProtection="1">
      <alignment horizontal="center" vertical="center"/>
    </xf>
    <xf numFmtId="38" fontId="13" fillId="0" borderId="31" xfId="34" applyFont="1" applyFill="1" applyBorder="1" applyAlignment="1" applyProtection="1">
      <alignment horizontal="right" vertical="center"/>
    </xf>
    <xf numFmtId="38" fontId="13" fillId="15" borderId="16" xfId="34" applyFont="1" applyFill="1" applyBorder="1" applyAlignment="1" applyProtection="1">
      <alignment horizontal="center" vertical="center"/>
    </xf>
    <xf numFmtId="38" fontId="13" fillId="15" borderId="31" xfId="34" applyFont="1" applyFill="1" applyBorder="1" applyProtection="1">
      <alignment vertical="center"/>
    </xf>
    <xf numFmtId="38" fontId="13" fillId="15" borderId="32" xfId="34" applyFont="1" applyFill="1" applyBorder="1" applyProtection="1">
      <alignment vertical="center"/>
    </xf>
    <xf numFmtId="38" fontId="13" fillId="15" borderId="33" xfId="34" applyFont="1" applyFill="1" applyBorder="1" applyProtection="1">
      <alignment vertical="center"/>
    </xf>
    <xf numFmtId="38" fontId="13" fillId="0" borderId="0" xfId="34" applyFont="1" applyProtection="1">
      <alignment vertical="center"/>
    </xf>
    <xf numFmtId="38" fontId="31" fillId="0" borderId="0" xfId="34" applyFont="1" applyProtection="1">
      <alignment vertical="center"/>
    </xf>
    <xf numFmtId="38" fontId="53" fillId="0" borderId="0" xfId="34" applyFont="1" applyProtection="1">
      <alignment vertical="center"/>
    </xf>
    <xf numFmtId="38" fontId="54" fillId="0" borderId="0" xfId="34" applyFont="1" applyProtection="1">
      <alignment vertical="center"/>
    </xf>
    <xf numFmtId="38" fontId="0" fillId="0" borderId="0" xfId="34" applyFont="1" applyBorder="1" applyAlignment="1" applyProtection="1">
      <alignment horizontal="right" vertical="center"/>
    </xf>
    <xf numFmtId="38" fontId="35" fillId="0" borderId="19" xfId="34" applyFont="1" applyFill="1" applyBorder="1" applyAlignment="1" applyProtection="1">
      <alignment horizontal="right" vertical="center"/>
    </xf>
    <xf numFmtId="38" fontId="0" fillId="0" borderId="34" xfId="34" applyFont="1" applyBorder="1" applyAlignment="1" applyProtection="1">
      <alignment horizontal="right" vertical="center"/>
    </xf>
    <xf numFmtId="38" fontId="0" fillId="0" borderId="11" xfId="34" applyFont="1" applyBorder="1" applyAlignment="1" applyProtection="1">
      <alignment horizontal="right" vertical="center"/>
    </xf>
    <xf numFmtId="38" fontId="0" fillId="0" borderId="0" xfId="34" applyFont="1" applyAlignment="1" applyProtection="1">
      <alignment horizontal="right" vertical="center"/>
    </xf>
    <xf numFmtId="38" fontId="0" fillId="0" borderId="0" xfId="34" applyFont="1" applyBorder="1" applyProtection="1">
      <alignment vertical="center"/>
    </xf>
    <xf numFmtId="38" fontId="29" fillId="0" borderId="35" xfId="34" applyFont="1" applyFill="1" applyBorder="1" applyAlignment="1" applyProtection="1">
      <alignment horizontal="right" vertical="center"/>
    </xf>
    <xf numFmtId="38" fontId="26" fillId="0" borderId="36" xfId="34" applyFont="1" applyFill="1" applyBorder="1" applyAlignment="1" applyProtection="1">
      <alignment horizontal="right" vertical="center"/>
    </xf>
    <xf numFmtId="38" fontId="26" fillId="0" borderId="37" xfId="34" applyFont="1" applyFill="1" applyBorder="1" applyAlignment="1" applyProtection="1">
      <alignment horizontal="right" vertical="center"/>
    </xf>
    <xf numFmtId="38" fontId="0" fillId="0" borderId="37" xfId="34" applyFont="1" applyBorder="1" applyProtection="1">
      <alignment vertical="center"/>
    </xf>
    <xf numFmtId="38" fontId="0" fillId="0" borderId="37" xfId="34" applyFont="1" applyBorder="1" applyAlignment="1" applyProtection="1">
      <alignment horizontal="right" vertical="center"/>
    </xf>
    <xf numFmtId="38" fontId="0" fillId="0" borderId="38" xfId="34" applyFont="1" applyBorder="1" applyAlignment="1" applyProtection="1">
      <alignment horizontal="right" vertical="center"/>
    </xf>
    <xf numFmtId="38" fontId="32" fillId="18" borderId="22" xfId="34" applyFont="1" applyFill="1" applyBorder="1" applyAlignment="1" applyProtection="1">
      <alignment horizontal="right" vertical="center"/>
    </xf>
    <xf numFmtId="38" fontId="13" fillId="18" borderId="39" xfId="34" applyFont="1" applyFill="1" applyBorder="1" applyAlignment="1" applyProtection="1">
      <alignment horizontal="right" vertical="center"/>
    </xf>
    <xf numFmtId="38" fontId="13" fillId="18" borderId="29" xfId="34" applyFont="1" applyFill="1" applyBorder="1" applyAlignment="1" applyProtection="1">
      <alignment horizontal="right" vertical="center"/>
    </xf>
    <xf numFmtId="38" fontId="38" fillId="18" borderId="29" xfId="34" applyFont="1" applyFill="1" applyBorder="1" applyProtection="1">
      <alignment vertical="center"/>
    </xf>
    <xf numFmtId="38" fontId="39" fillId="18" borderId="29" xfId="34" applyFont="1" applyFill="1" applyBorder="1" applyProtection="1">
      <alignment vertical="center"/>
    </xf>
    <xf numFmtId="38" fontId="39" fillId="18" borderId="40" xfId="34" applyFont="1" applyFill="1" applyBorder="1" applyProtection="1">
      <alignment vertical="center"/>
    </xf>
    <xf numFmtId="38" fontId="13" fillId="18" borderId="22" xfId="34" applyFont="1" applyFill="1" applyBorder="1" applyProtection="1">
      <alignment vertical="center"/>
    </xf>
    <xf numFmtId="38" fontId="21" fillId="0" borderId="16" xfId="34" applyFont="1" applyFill="1" applyBorder="1" applyAlignment="1" applyProtection="1">
      <alignment horizontal="right" vertical="center" wrapText="1"/>
    </xf>
    <xf numFmtId="38" fontId="26" fillId="0" borderId="31" xfId="34" applyFont="1" applyFill="1" applyBorder="1" applyAlignment="1" applyProtection="1">
      <alignment horizontal="right" vertical="center"/>
    </xf>
    <xf numFmtId="38" fontId="26" fillId="0" borderId="32" xfId="34" applyFont="1" applyFill="1" applyBorder="1" applyAlignment="1" applyProtection="1">
      <alignment horizontal="right" vertical="center"/>
    </xf>
    <xf numFmtId="38" fontId="0" fillId="0" borderId="32" xfId="34" applyFont="1" applyBorder="1" applyProtection="1">
      <alignment vertical="center"/>
    </xf>
    <xf numFmtId="38" fontId="0" fillId="0" borderId="32" xfId="34" applyFont="1" applyBorder="1" applyAlignment="1" applyProtection="1">
      <alignment horizontal="right" vertical="center"/>
    </xf>
    <xf numFmtId="38" fontId="0" fillId="0" borderId="41" xfId="34" applyFont="1" applyBorder="1" applyAlignment="1" applyProtection="1">
      <alignment horizontal="right" vertical="center"/>
    </xf>
    <xf numFmtId="176" fontId="0" fillId="0" borderId="0" xfId="34" applyNumberFormat="1" applyFont="1" applyProtection="1">
      <alignment vertical="center"/>
    </xf>
    <xf numFmtId="38" fontId="55" fillId="0" borderId="42" xfId="34" applyFont="1" applyBorder="1" applyAlignment="1" applyProtection="1">
      <alignment horizontal="right" vertical="center"/>
    </xf>
    <xf numFmtId="182" fontId="55" fillId="0" borderId="43" xfId="34" applyNumberFormat="1" applyFont="1" applyBorder="1" applyProtection="1">
      <alignment vertical="center"/>
    </xf>
    <xf numFmtId="38" fontId="13" fillId="0" borderId="16" xfId="34" applyFont="1" applyBorder="1" applyProtection="1">
      <alignment vertical="center"/>
    </xf>
    <xf numFmtId="38" fontId="13" fillId="0" borderId="16" xfId="34" applyFont="1" applyBorder="1" applyAlignment="1" applyProtection="1">
      <alignment horizontal="center" vertical="center"/>
    </xf>
    <xf numFmtId="38" fontId="0" fillId="12" borderId="44" xfId="34" applyFont="1" applyFill="1" applyBorder="1" applyProtection="1">
      <alignment vertical="center"/>
    </xf>
    <xf numFmtId="38" fontId="26" fillId="19" borderId="0" xfId="34" applyFont="1" applyFill="1" applyProtection="1">
      <alignment vertical="center"/>
    </xf>
    <xf numFmtId="38" fontId="26" fillId="20" borderId="0" xfId="34" applyFont="1" applyFill="1" applyProtection="1">
      <alignment vertical="center"/>
    </xf>
    <xf numFmtId="38" fontId="29" fillId="21" borderId="0" xfId="34" applyFont="1" applyFill="1" applyProtection="1">
      <alignment vertical="center"/>
    </xf>
    <xf numFmtId="38" fontId="0" fillId="0" borderId="16" xfId="34" applyFont="1" applyBorder="1" applyProtection="1">
      <alignment vertical="center"/>
    </xf>
    <xf numFmtId="38" fontId="26" fillId="0" borderId="16" xfId="34" applyFont="1" applyBorder="1" applyProtection="1">
      <alignment vertical="center"/>
    </xf>
    <xf numFmtId="38" fontId="0" fillId="0" borderId="0" xfId="34" applyFont="1" applyAlignment="1" applyProtection="1">
      <alignment vertical="center"/>
    </xf>
    <xf numFmtId="38" fontId="0" fillId="0" borderId="16" xfId="34" applyFont="1" applyBorder="1" applyAlignment="1" applyProtection="1">
      <alignment vertical="center"/>
    </xf>
    <xf numFmtId="38" fontId="26" fillId="16" borderId="16" xfId="34" applyFont="1" applyFill="1" applyBorder="1" applyProtection="1">
      <alignment vertical="center"/>
    </xf>
    <xf numFmtId="38" fontId="0" fillId="13" borderId="0" xfId="34" applyFont="1" applyFill="1" applyProtection="1">
      <alignment vertical="center"/>
    </xf>
    <xf numFmtId="38" fontId="56" fillId="0" borderId="16" xfId="34" applyFont="1" applyBorder="1" applyProtection="1">
      <alignment vertical="center"/>
    </xf>
    <xf numFmtId="38" fontId="0" fillId="0" borderId="16" xfId="34" applyFont="1" applyBorder="1" applyAlignment="1" applyProtection="1">
      <alignment horizontal="right" vertical="center"/>
    </xf>
    <xf numFmtId="3" fontId="26" fillId="17" borderId="16" xfId="34" applyNumberFormat="1" applyFont="1" applyFill="1" applyBorder="1" applyProtection="1">
      <alignment vertical="center"/>
    </xf>
    <xf numFmtId="38" fontId="0" fillId="0" borderId="0" xfId="34" applyFont="1" applyBorder="1" applyAlignment="1" applyProtection="1">
      <alignment horizontal="center" vertical="center"/>
    </xf>
    <xf numFmtId="38" fontId="0" fillId="0" borderId="16" xfId="34" applyFont="1" applyBorder="1" applyAlignment="1" applyProtection="1">
      <alignment horizontal="center" vertical="center"/>
    </xf>
    <xf numFmtId="184" fontId="26" fillId="20" borderId="0" xfId="34" applyNumberFormat="1" applyFont="1" applyFill="1" applyBorder="1" applyProtection="1">
      <alignment vertical="center"/>
    </xf>
    <xf numFmtId="38" fontId="0" fillId="14" borderId="0" xfId="34" applyFont="1" applyFill="1" applyBorder="1" applyProtection="1">
      <alignment vertical="center"/>
    </xf>
    <xf numFmtId="38" fontId="26" fillId="0" borderId="0" xfId="34" applyFont="1" applyBorder="1" applyProtection="1">
      <alignment vertical="center"/>
    </xf>
    <xf numFmtId="38" fontId="26" fillId="22" borderId="45" xfId="34" applyFont="1" applyFill="1" applyBorder="1" applyProtection="1">
      <alignment vertical="center"/>
    </xf>
    <xf numFmtId="38" fontId="26" fillId="22" borderId="46" xfId="34" applyFont="1" applyFill="1" applyBorder="1" applyProtection="1">
      <alignment vertical="center"/>
    </xf>
    <xf numFmtId="38" fontId="26" fillId="22" borderId="47" xfId="34" applyFont="1" applyFill="1" applyBorder="1" applyProtection="1">
      <alignment vertical="center"/>
    </xf>
    <xf numFmtId="38" fontId="26" fillId="22" borderId="48" xfId="34" applyFont="1" applyFill="1" applyBorder="1" applyProtection="1">
      <alignment vertical="center"/>
    </xf>
    <xf numFmtId="38" fontId="0" fillId="0" borderId="49" xfId="34" applyFont="1" applyBorder="1" applyAlignment="1" applyProtection="1">
      <alignment horizontal="center" vertical="center"/>
    </xf>
    <xf numFmtId="180" fontId="26" fillId="15" borderId="45" xfId="34" applyNumberFormat="1" applyFont="1" applyFill="1" applyBorder="1" applyProtection="1">
      <alignment vertical="center"/>
    </xf>
    <xf numFmtId="184" fontId="26" fillId="15" borderId="50" xfId="34" applyNumberFormat="1" applyFont="1" applyFill="1" applyBorder="1" applyProtection="1">
      <alignment vertical="center"/>
    </xf>
    <xf numFmtId="184" fontId="26" fillId="15" borderId="46" xfId="34" applyNumberFormat="1" applyFont="1" applyFill="1" applyBorder="1" applyProtection="1">
      <alignment vertical="center"/>
    </xf>
    <xf numFmtId="38" fontId="0" fillId="0" borderId="44" xfId="34" applyFont="1" applyBorder="1" applyAlignment="1" applyProtection="1">
      <alignment horizontal="center" vertical="center"/>
    </xf>
    <xf numFmtId="38" fontId="0" fillId="0" borderId="44" xfId="34" applyFont="1" applyBorder="1" applyProtection="1">
      <alignment vertical="center"/>
    </xf>
    <xf numFmtId="180" fontId="26" fillId="15" borderId="47" xfId="34" applyNumberFormat="1" applyFont="1" applyFill="1" applyBorder="1" applyProtection="1">
      <alignment vertical="center"/>
    </xf>
    <xf numFmtId="184" fontId="26" fillId="15" borderId="0" xfId="34" applyNumberFormat="1" applyFont="1" applyFill="1" applyBorder="1" applyProtection="1">
      <alignment vertical="center"/>
    </xf>
    <xf numFmtId="184" fontId="26" fillId="15" borderId="48" xfId="34" applyNumberFormat="1" applyFont="1" applyFill="1" applyBorder="1" applyProtection="1">
      <alignment vertical="center"/>
    </xf>
    <xf numFmtId="38" fontId="21" fillId="0" borderId="44" xfId="34" applyFont="1" applyBorder="1" applyAlignment="1" applyProtection="1">
      <alignment horizontal="center" vertical="center"/>
    </xf>
    <xf numFmtId="180" fontId="26" fillId="15" borderId="51" xfId="34" applyNumberFormat="1" applyFont="1" applyFill="1" applyBorder="1" applyProtection="1">
      <alignment vertical="center"/>
    </xf>
    <xf numFmtId="184" fontId="26" fillId="15" borderId="52" xfId="34" applyNumberFormat="1" applyFont="1" applyFill="1" applyBorder="1" applyProtection="1">
      <alignment vertical="center"/>
    </xf>
    <xf numFmtId="184" fontId="26" fillId="15" borderId="53" xfId="34" applyNumberFormat="1" applyFont="1" applyFill="1" applyBorder="1" applyProtection="1">
      <alignment vertical="center"/>
    </xf>
    <xf numFmtId="180" fontId="26" fillId="23" borderId="45" xfId="34" applyNumberFormat="1" applyFont="1" applyFill="1" applyBorder="1" applyProtection="1">
      <alignment vertical="center"/>
    </xf>
    <xf numFmtId="38" fontId="26" fillId="23" borderId="50" xfId="34" applyFont="1" applyFill="1" applyBorder="1" applyProtection="1">
      <alignment vertical="center"/>
    </xf>
    <xf numFmtId="38" fontId="26" fillId="23" borderId="46" xfId="34" applyFont="1" applyFill="1" applyBorder="1" applyProtection="1">
      <alignment vertical="center"/>
    </xf>
    <xf numFmtId="38" fontId="26" fillId="23" borderId="54" xfId="34" applyFont="1" applyFill="1" applyBorder="1" applyProtection="1">
      <alignment vertical="center"/>
    </xf>
    <xf numFmtId="180" fontId="26" fillId="23" borderId="47" xfId="34" applyNumberFormat="1" applyFont="1" applyFill="1" applyBorder="1" applyProtection="1">
      <alignment vertical="center"/>
    </xf>
    <xf numFmtId="38" fontId="26" fillId="23" borderId="0" xfId="34" applyFont="1" applyFill="1" applyBorder="1" applyProtection="1">
      <alignment vertical="center"/>
    </xf>
    <xf numFmtId="38" fontId="26" fillId="23" borderId="48" xfId="34" applyFont="1" applyFill="1" applyBorder="1" applyProtection="1">
      <alignment vertical="center"/>
    </xf>
    <xf numFmtId="38" fontId="26" fillId="23" borderId="55" xfId="34" applyFont="1" applyFill="1" applyBorder="1" applyProtection="1">
      <alignment vertical="center"/>
    </xf>
    <xf numFmtId="38" fontId="29" fillId="0" borderId="16" xfId="34" applyFont="1" applyBorder="1" applyProtection="1">
      <alignment vertical="center"/>
    </xf>
    <xf numFmtId="38" fontId="0" fillId="0" borderId="16" xfId="34" applyNumberFormat="1" applyFont="1" applyBorder="1" applyProtection="1">
      <alignment vertical="center"/>
    </xf>
    <xf numFmtId="180" fontId="26" fillId="23" borderId="51" xfId="34" applyNumberFormat="1" applyFont="1" applyFill="1" applyBorder="1" applyProtection="1">
      <alignment vertical="center"/>
    </xf>
    <xf numFmtId="38" fontId="26" fillId="23" borderId="52" xfId="34" applyFont="1" applyFill="1" applyBorder="1" applyProtection="1">
      <alignment vertical="center"/>
    </xf>
    <xf numFmtId="38" fontId="26" fillId="23" borderId="53" xfId="34" applyFont="1" applyFill="1" applyBorder="1" applyProtection="1">
      <alignment vertical="center"/>
    </xf>
    <xf numFmtId="38" fontId="26" fillId="23" borderId="56" xfId="34" applyFont="1" applyFill="1" applyBorder="1" applyProtection="1">
      <alignment vertical="center"/>
    </xf>
    <xf numFmtId="180" fontId="0" fillId="0" borderId="0" xfId="34" applyNumberFormat="1" applyFont="1" applyProtection="1">
      <alignment vertical="center"/>
    </xf>
    <xf numFmtId="183" fontId="0" fillId="0" borderId="16" xfId="34" applyNumberFormat="1" applyFont="1" applyBorder="1" applyAlignment="1" applyProtection="1">
      <alignment horizontal="center" vertical="center"/>
    </xf>
    <xf numFmtId="40" fontId="0" fillId="0" borderId="16" xfId="34" applyNumberFormat="1" applyFont="1" applyBorder="1" applyProtection="1">
      <alignment vertical="center"/>
    </xf>
    <xf numFmtId="38" fontId="56" fillId="0" borderId="0" xfId="34" applyFont="1" applyAlignment="1" applyProtection="1">
      <alignment horizontal="center" vertical="center"/>
    </xf>
    <xf numFmtId="40" fontId="57" fillId="16" borderId="44" xfId="34" applyNumberFormat="1" applyFont="1" applyFill="1" applyBorder="1" applyProtection="1">
      <alignment vertical="center"/>
    </xf>
    <xf numFmtId="40" fontId="0" fillId="0" borderId="0" xfId="34" applyNumberFormat="1" applyFont="1" applyProtection="1">
      <alignment vertical="center"/>
    </xf>
    <xf numFmtId="38" fontId="0" fillId="0" borderId="16" xfId="34" applyFont="1" applyBorder="1" applyAlignment="1" applyProtection="1">
      <alignment horizontal="center" vertical="center" wrapText="1"/>
    </xf>
    <xf numFmtId="183" fontId="0" fillId="0" borderId="16" xfId="34" applyNumberFormat="1" applyFont="1" applyBorder="1" applyProtection="1">
      <alignment vertical="center"/>
    </xf>
    <xf numFmtId="38" fontId="58" fillId="24" borderId="16" xfId="34" applyFont="1" applyFill="1" applyBorder="1" applyProtection="1">
      <alignment vertical="center"/>
    </xf>
    <xf numFmtId="38" fontId="57" fillId="24" borderId="16" xfId="34" applyFont="1" applyFill="1" applyBorder="1" applyProtection="1">
      <alignment vertical="center"/>
    </xf>
    <xf numFmtId="31" fontId="59" fillId="0" borderId="0" xfId="0" applyNumberFormat="1" applyFont="1" applyBorder="1" applyAlignment="1" applyProtection="1">
      <alignment horizontal="right" vertical="center" wrapText="1"/>
    </xf>
    <xf numFmtId="38" fontId="29" fillId="0" borderId="16" xfId="34" applyFont="1" applyBorder="1" applyAlignment="1" applyProtection="1">
      <alignment horizontal="center" vertical="center" wrapText="1"/>
    </xf>
    <xf numFmtId="38" fontId="13" fillId="0" borderId="16" xfId="34" applyFont="1" applyBorder="1" applyAlignment="1" applyProtection="1">
      <alignment horizontal="center" vertical="center" wrapText="1"/>
    </xf>
    <xf numFmtId="0" fontId="40" fillId="0" borderId="0" xfId="0" applyFo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41" fillId="0" borderId="0" xfId="0" applyFont="1">
      <alignment vertical="center"/>
    </xf>
    <xf numFmtId="38" fontId="32" fillId="0" borderId="16" xfId="34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right" vertical="center"/>
    </xf>
    <xf numFmtId="185" fontId="22" fillId="17" borderId="16" xfId="0" applyNumberFormat="1" applyFont="1" applyFill="1" applyBorder="1">
      <alignment vertical="center"/>
    </xf>
    <xf numFmtId="0" fontId="13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8" fontId="35" fillId="0" borderId="16" xfId="34" applyFont="1" applyFill="1" applyBorder="1" applyAlignment="1" applyProtection="1">
      <alignment horizontal="right" vertical="center"/>
    </xf>
    <xf numFmtId="178" fontId="60" fillId="0" borderId="16" xfId="0" applyNumberFormat="1" applyFont="1" applyBorder="1" applyAlignment="1">
      <alignment horizontal="center" vertical="center"/>
    </xf>
    <xf numFmtId="185" fontId="22" fillId="16" borderId="16" xfId="33" applyNumberFormat="1" applyFont="1" applyFill="1" applyBorder="1" applyAlignment="1" applyProtection="1">
      <alignment horizontal="center" vertical="center"/>
      <protection locked="0"/>
    </xf>
    <xf numFmtId="3" fontId="26" fillId="0" borderId="0" xfId="34" applyNumberFormat="1" applyFont="1" applyFill="1" applyProtection="1">
      <alignment vertical="center"/>
    </xf>
    <xf numFmtId="185" fontId="40" fillId="21" borderId="16" xfId="0" applyNumberFormat="1" applyFont="1" applyFill="1" applyBorder="1" applyAlignment="1">
      <alignment horizontal="center" vertical="center"/>
    </xf>
    <xf numFmtId="185" fontId="40" fillId="26" borderId="16" xfId="0" applyNumberFormat="1" applyFont="1" applyFill="1" applyBorder="1" applyAlignment="1">
      <alignment horizontal="center" vertical="center"/>
    </xf>
    <xf numFmtId="185" fontId="40" fillId="19" borderId="16" xfId="0" applyNumberFormat="1" applyFont="1" applyFill="1" applyBorder="1" applyAlignment="1">
      <alignment horizontal="center" vertical="center"/>
    </xf>
    <xf numFmtId="185" fontId="22" fillId="0" borderId="16" xfId="0" applyNumberFormat="1" applyFont="1" applyBorder="1">
      <alignment vertical="center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42" fillId="0" borderId="0" xfId="0" applyFont="1">
      <alignment vertical="center"/>
    </xf>
    <xf numFmtId="178" fontId="32" fillId="0" borderId="16" xfId="0" applyNumberFormat="1" applyFont="1" applyFill="1" applyBorder="1" applyAlignment="1">
      <alignment horizontal="center" vertical="center"/>
    </xf>
    <xf numFmtId="14" fontId="40" fillId="0" borderId="0" xfId="0" applyNumberFormat="1" applyFont="1">
      <alignment vertical="center"/>
    </xf>
    <xf numFmtId="38" fontId="13" fillId="12" borderId="44" xfId="33" applyFont="1" applyFill="1" applyBorder="1" applyAlignment="1" applyProtection="1">
      <alignment vertical="center"/>
      <protection locked="0"/>
    </xf>
    <xf numFmtId="185" fontId="13" fillId="16" borderId="44" xfId="33" applyNumberFormat="1" applyFont="1" applyFill="1" applyBorder="1" applyAlignment="1" applyProtection="1">
      <alignment vertical="center"/>
      <protection locked="0"/>
    </xf>
    <xf numFmtId="185" fontId="13" fillId="0" borderId="44" xfId="33" applyNumberFormat="1" applyFont="1" applyFill="1" applyBorder="1" applyAlignment="1" applyProtection="1">
      <alignment vertical="center"/>
    </xf>
    <xf numFmtId="31" fontId="43" fillId="12" borderId="44" xfId="0" applyNumberFormat="1" applyFont="1" applyFill="1" applyBorder="1" applyAlignment="1" applyProtection="1">
      <alignment vertical="center" wrapText="1"/>
      <protection locked="0"/>
    </xf>
    <xf numFmtId="14" fontId="13" fillId="0" borderId="16" xfId="0" applyNumberFormat="1" applyFont="1" applyBorder="1">
      <alignment vertical="center"/>
    </xf>
    <xf numFmtId="185" fontId="40" fillId="26" borderId="16" xfId="33" applyNumberFormat="1" applyFont="1" applyFill="1" applyBorder="1" applyAlignment="1">
      <alignment horizontal="center" vertical="center" wrapText="1"/>
    </xf>
    <xf numFmtId="185" fontId="32" fillId="0" borderId="16" xfId="33" applyNumberFormat="1" applyFont="1" applyBorder="1">
      <alignment vertical="center"/>
    </xf>
    <xf numFmtId="178" fontId="60" fillId="0" borderId="16" xfId="0" applyNumberFormat="1" applyFont="1" applyFill="1" applyBorder="1" applyAlignment="1">
      <alignment horizontal="center" vertical="center"/>
    </xf>
    <xf numFmtId="178" fontId="40" fillId="27" borderId="16" xfId="0" applyNumberFormat="1" applyFont="1" applyFill="1" applyBorder="1" applyAlignment="1">
      <alignment horizontal="center" vertical="center"/>
    </xf>
    <xf numFmtId="185" fontId="0" fillId="0" borderId="0" xfId="0" applyNumberFormat="1">
      <alignment vertical="center"/>
    </xf>
    <xf numFmtId="0" fontId="29" fillId="0" borderId="0" xfId="0" applyFont="1">
      <alignment vertical="center"/>
    </xf>
    <xf numFmtId="38" fontId="40" fillId="0" borderId="16" xfId="34" applyFont="1" applyBorder="1" applyAlignment="1" applyProtection="1">
      <alignment horizontal="center" vertical="center" wrapText="1"/>
    </xf>
    <xf numFmtId="183" fontId="40" fillId="0" borderId="16" xfId="34" applyNumberFormat="1" applyFont="1" applyBorder="1" applyProtection="1">
      <alignment vertical="center"/>
    </xf>
    <xf numFmtId="38" fontId="40" fillId="0" borderId="16" xfId="34" applyFont="1" applyBorder="1" applyProtection="1">
      <alignment vertical="center"/>
    </xf>
    <xf numFmtId="0" fontId="40" fillId="0" borderId="44" xfId="0" applyFont="1" applyBorder="1" applyAlignment="1">
      <alignment horizontal="center" vertical="center" wrapText="1"/>
    </xf>
    <xf numFmtId="186" fontId="45" fillId="12" borderId="44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>
      <alignment vertical="center"/>
    </xf>
    <xf numFmtId="40" fontId="60" fillId="21" borderId="16" xfId="33" applyNumberFormat="1" applyFont="1" applyFill="1" applyBorder="1" applyAlignment="1">
      <alignment horizontal="center" vertical="center" wrapText="1"/>
    </xf>
    <xf numFmtId="185" fontId="30" fillId="21" borderId="16" xfId="33" applyNumberFormat="1" applyFont="1" applyFill="1" applyBorder="1" applyAlignment="1">
      <alignment horizontal="center" vertical="center" wrapText="1"/>
    </xf>
    <xf numFmtId="185" fontId="30" fillId="0" borderId="16" xfId="0" applyNumberFormat="1" applyFont="1" applyBorder="1" applyAlignment="1">
      <alignment horizontal="center" vertical="center"/>
    </xf>
    <xf numFmtId="185" fontId="40" fillId="0" borderId="16" xfId="0" applyNumberFormat="1" applyFont="1" applyBorder="1" applyAlignment="1">
      <alignment horizontal="center" vertical="center"/>
    </xf>
    <xf numFmtId="185" fontId="40" fillId="16" borderId="16" xfId="0" applyNumberFormat="1" applyFont="1" applyFill="1" applyBorder="1" applyAlignment="1">
      <alignment horizontal="center" vertical="center"/>
    </xf>
    <xf numFmtId="185" fontId="40" fillId="28" borderId="16" xfId="0" applyNumberFormat="1" applyFont="1" applyFill="1" applyBorder="1" applyAlignment="1">
      <alignment horizontal="center" vertical="center"/>
    </xf>
    <xf numFmtId="185" fontId="40" fillId="29" borderId="16" xfId="0" applyNumberFormat="1" applyFont="1" applyFill="1" applyBorder="1" applyAlignment="1">
      <alignment horizontal="center" vertical="center"/>
    </xf>
    <xf numFmtId="178" fontId="40" fillId="27" borderId="16" xfId="0" applyNumberFormat="1" applyFont="1" applyFill="1" applyBorder="1" applyAlignment="1" applyProtection="1">
      <alignment horizontal="center" wrapText="1"/>
    </xf>
    <xf numFmtId="38" fontId="40" fillId="0" borderId="16" xfId="33" applyFont="1" applyBorder="1" applyAlignment="1">
      <alignment horizontal="center" vertical="center"/>
    </xf>
    <xf numFmtId="185" fontId="40" fillId="21" borderId="16" xfId="33" applyNumberFormat="1" applyFont="1" applyFill="1" applyBorder="1" applyAlignment="1">
      <alignment horizontal="center" vertical="center"/>
    </xf>
    <xf numFmtId="0" fontId="46" fillId="0" borderId="0" xfId="0" applyFont="1">
      <alignment vertical="center"/>
    </xf>
    <xf numFmtId="38" fontId="22" fillId="0" borderId="0" xfId="34" applyFont="1" applyAlignment="1" applyProtection="1">
      <alignment horizontal="right" vertical="center"/>
    </xf>
    <xf numFmtId="38" fontId="21" fillId="0" borderId="16" xfId="34" applyFont="1" applyBorder="1" applyAlignment="1" applyProtection="1">
      <alignment horizontal="center" vertical="center"/>
    </xf>
    <xf numFmtId="38" fontId="21" fillId="0" borderId="16" xfId="34" applyFont="1" applyBorder="1" applyAlignment="1" applyProtection="1">
      <alignment horizontal="center" vertical="center" wrapText="1"/>
    </xf>
    <xf numFmtId="38" fontId="0" fillId="0" borderId="0" xfId="34" applyFont="1" applyBorder="1" applyAlignment="1" applyProtection="1">
      <alignment horizontal="right" vertical="center"/>
    </xf>
    <xf numFmtId="38" fontId="0" fillId="0" borderId="0" xfId="34" applyFont="1" applyBorder="1" applyAlignment="1" applyProtection="1">
      <alignment horizontal="right" vertical="center"/>
    </xf>
    <xf numFmtId="38" fontId="21" fillId="0" borderId="16" xfId="34" applyFont="1" applyBorder="1" applyAlignment="1" applyProtection="1">
      <alignment horizontal="center" vertical="center" wrapText="1"/>
    </xf>
    <xf numFmtId="38" fontId="21" fillId="0" borderId="16" xfId="34" applyFont="1" applyBorder="1" applyAlignment="1" applyProtection="1">
      <alignment horizontal="center" vertical="center"/>
    </xf>
    <xf numFmtId="38" fontId="22" fillId="0" borderId="0" xfId="34" applyFont="1" applyAlignment="1" applyProtection="1">
      <alignment horizontal="right" vertical="center"/>
    </xf>
    <xf numFmtId="38" fontId="22" fillId="0" borderId="0" xfId="33" applyFont="1" applyFill="1" applyAlignment="1" applyProtection="1">
      <alignment horizontal="left" vertical="center"/>
    </xf>
    <xf numFmtId="187" fontId="25" fillId="16" borderId="44" xfId="33" applyNumberFormat="1" applyFont="1" applyFill="1" applyBorder="1" applyAlignment="1" applyProtection="1">
      <alignment horizontal="right" vertical="center"/>
    </xf>
    <xf numFmtId="38" fontId="22" fillId="22" borderId="0" xfId="33" applyFont="1" applyFill="1" applyBorder="1" applyProtection="1">
      <alignment vertical="center"/>
    </xf>
    <xf numFmtId="38" fontId="20" fillId="22" borderId="0" xfId="33" applyFont="1" applyFill="1" applyBorder="1" applyProtection="1">
      <alignment vertical="center"/>
    </xf>
    <xf numFmtId="38" fontId="20" fillId="22" borderId="63" xfId="33" applyFont="1" applyFill="1" applyBorder="1" applyProtection="1">
      <alignment vertical="center"/>
    </xf>
    <xf numFmtId="38" fontId="20" fillId="0" borderId="0" xfId="33" applyFont="1" applyProtection="1">
      <alignment vertical="center"/>
    </xf>
    <xf numFmtId="38" fontId="0" fillId="0" borderId="0" xfId="34" applyFont="1" applyFill="1" applyBorder="1" applyProtection="1">
      <alignment vertical="center"/>
    </xf>
    <xf numFmtId="38" fontId="0" fillId="0" borderId="0" xfId="34" applyFont="1" applyFill="1" applyAlignment="1" applyProtection="1">
      <alignment horizontal="center" vertical="center"/>
    </xf>
    <xf numFmtId="185" fontId="39" fillId="0" borderId="44" xfId="33" applyNumberFormat="1" applyFont="1" applyFill="1" applyBorder="1" applyAlignment="1" applyProtection="1">
      <alignment vertical="center"/>
    </xf>
    <xf numFmtId="31" fontId="36" fillId="25" borderId="44" xfId="0" applyNumberFormat="1" applyFont="1" applyFill="1" applyBorder="1" applyAlignment="1" applyProtection="1">
      <alignment vertical="center" wrapText="1"/>
    </xf>
    <xf numFmtId="188" fontId="0" fillId="0" borderId="16" xfId="33" applyNumberFormat="1" applyFont="1" applyBorder="1" applyProtection="1">
      <alignment vertical="center"/>
    </xf>
    <xf numFmtId="38" fontId="0" fillId="0" borderId="0" xfId="33" applyFont="1" applyProtection="1">
      <alignment vertical="center"/>
    </xf>
    <xf numFmtId="38" fontId="56" fillId="0" borderId="0" xfId="33" applyFont="1" applyAlignment="1" applyProtection="1">
      <alignment horizontal="center" vertical="center"/>
    </xf>
    <xf numFmtId="38" fontId="0" fillId="0" borderId="0" xfId="33" applyFont="1" applyAlignment="1" applyProtection="1">
      <alignment horizontal="center" vertical="center"/>
    </xf>
    <xf numFmtId="188" fontId="57" fillId="16" borderId="44" xfId="33" applyNumberFormat="1" applyFont="1" applyFill="1" applyBorder="1" applyProtection="1">
      <alignment vertical="center"/>
    </xf>
    <xf numFmtId="40" fontId="0" fillId="0" borderId="0" xfId="33" applyNumberFormat="1" applyFont="1" applyProtection="1">
      <alignment vertical="center"/>
    </xf>
    <xf numFmtId="189" fontId="55" fillId="16" borderId="44" xfId="33" applyNumberFormat="1" applyFont="1" applyFill="1" applyBorder="1" applyAlignment="1" applyProtection="1">
      <alignment horizontal="right" vertical="center"/>
      <protection locked="0"/>
    </xf>
    <xf numFmtId="38" fontId="57" fillId="0" borderId="0" xfId="33" applyFont="1" applyAlignment="1" applyProtection="1">
      <alignment horizontal="left" vertical="center"/>
    </xf>
    <xf numFmtId="190" fontId="40" fillId="24" borderId="16" xfId="33" applyNumberFormat="1" applyFont="1" applyFill="1" applyBorder="1" applyAlignment="1">
      <alignment horizontal="center" vertical="center" wrapText="1"/>
    </xf>
    <xf numFmtId="190" fontId="40" fillId="24" borderId="16" xfId="0" applyNumberFormat="1" applyFont="1" applyFill="1" applyBorder="1" applyAlignment="1">
      <alignment horizontal="center" vertical="center"/>
    </xf>
    <xf numFmtId="190" fontId="0" fillId="0" borderId="0" xfId="0" applyNumberFormat="1">
      <alignment vertical="center"/>
    </xf>
    <xf numFmtId="38" fontId="22" fillId="0" borderId="0" xfId="33" applyFont="1" applyAlignment="1" applyProtection="1">
      <alignment horizontal="right" vertical="center"/>
    </xf>
    <xf numFmtId="38" fontId="22" fillId="0" borderId="57" xfId="33" applyFont="1" applyBorder="1" applyAlignment="1" applyProtection="1">
      <alignment horizontal="right" vertical="center"/>
    </xf>
    <xf numFmtId="38" fontId="58" fillId="30" borderId="0" xfId="33" applyFont="1" applyFill="1" applyAlignment="1" applyProtection="1">
      <alignment horizontal="right" vertical="center" wrapText="1"/>
    </xf>
    <xf numFmtId="38" fontId="58" fillId="30" borderId="57" xfId="33" applyFont="1" applyFill="1" applyBorder="1" applyAlignment="1" applyProtection="1">
      <alignment horizontal="right" vertical="center" wrapText="1"/>
    </xf>
    <xf numFmtId="0" fontId="22" fillId="17" borderId="17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/>
    </xf>
    <xf numFmtId="0" fontId="4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0" fontId="22" fillId="17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38" fontId="30" fillId="0" borderId="16" xfId="33" applyFont="1" applyBorder="1" applyAlignment="1">
      <alignment horizontal="center" vertical="center" wrapText="1"/>
    </xf>
    <xf numFmtId="38" fontId="30" fillId="0" borderId="16" xfId="33" applyFont="1" applyBorder="1" applyAlignment="1">
      <alignment horizontal="center" vertical="center"/>
    </xf>
    <xf numFmtId="38" fontId="40" fillId="0" borderId="0" xfId="34" applyFont="1" applyAlignment="1" applyProtection="1">
      <alignment horizontal="right" vertical="center"/>
    </xf>
    <xf numFmtId="0" fontId="40" fillId="16" borderId="59" xfId="0" applyFont="1" applyFill="1" applyBorder="1" applyAlignment="1">
      <alignment horizontal="center" vertical="center"/>
    </xf>
    <xf numFmtId="0" fontId="40" fillId="16" borderId="60" xfId="0" applyFont="1" applyFill="1" applyBorder="1" applyAlignment="1">
      <alignment horizontal="center" vertical="center"/>
    </xf>
    <xf numFmtId="38" fontId="22" fillId="0" borderId="0" xfId="34" applyFont="1" applyAlignment="1" applyProtection="1">
      <alignment horizontal="right" vertical="center"/>
    </xf>
    <xf numFmtId="38" fontId="22" fillId="0" borderId="57" xfId="34" applyFont="1" applyBorder="1" applyAlignment="1" applyProtection="1">
      <alignment horizontal="right" vertical="center"/>
    </xf>
    <xf numFmtId="38" fontId="25" fillId="16" borderId="42" xfId="34" applyFont="1" applyFill="1" applyBorder="1" applyAlignment="1" applyProtection="1">
      <alignment horizontal="right" vertical="center"/>
    </xf>
    <xf numFmtId="38" fontId="25" fillId="16" borderId="43" xfId="34" applyFont="1" applyFill="1" applyBorder="1" applyAlignment="1" applyProtection="1">
      <alignment horizontal="right" vertical="center"/>
    </xf>
    <xf numFmtId="38" fontId="25" fillId="0" borderId="42" xfId="34" applyFont="1" applyFill="1" applyBorder="1" applyAlignment="1" applyProtection="1">
      <alignment horizontal="right" vertical="center"/>
    </xf>
    <xf numFmtId="38" fontId="25" fillId="0" borderId="43" xfId="34" applyFont="1" applyFill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 wrapText="1"/>
    </xf>
    <xf numFmtId="0" fontId="62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left" vertical="center" wrapText="1"/>
    </xf>
    <xf numFmtId="38" fontId="25" fillId="12" borderId="42" xfId="34" applyFont="1" applyFill="1" applyBorder="1" applyAlignment="1" applyProtection="1">
      <alignment horizontal="right" vertical="center"/>
    </xf>
    <xf numFmtId="38" fontId="25" fillId="12" borderId="43" xfId="34" applyFont="1" applyFill="1" applyBorder="1" applyAlignment="1" applyProtection="1">
      <alignment horizontal="right" vertical="center"/>
    </xf>
    <xf numFmtId="38" fontId="22" fillId="22" borderId="64" xfId="33" applyFont="1" applyFill="1" applyBorder="1" applyAlignment="1" applyProtection="1">
      <alignment horizontal="right" vertical="center"/>
    </xf>
    <xf numFmtId="38" fontId="22" fillId="22" borderId="65" xfId="33" applyFont="1" applyFill="1" applyBorder="1" applyAlignment="1" applyProtection="1">
      <alignment horizontal="right" vertical="center"/>
    </xf>
    <xf numFmtId="38" fontId="22" fillId="22" borderId="66" xfId="33" applyFont="1" applyFill="1" applyBorder="1" applyAlignment="1" applyProtection="1">
      <alignment horizontal="right" vertical="center"/>
    </xf>
    <xf numFmtId="179" fontId="33" fillId="12" borderId="42" xfId="0" applyNumberFormat="1" applyFont="1" applyFill="1" applyBorder="1" applyAlignment="1" applyProtection="1">
      <alignment horizontal="right" vertical="center" wrapText="1"/>
    </xf>
    <xf numFmtId="179" fontId="33" fillId="12" borderId="43" xfId="0" applyNumberFormat="1" applyFont="1" applyFill="1" applyBorder="1" applyAlignment="1" applyProtection="1">
      <alignment horizontal="right" vertical="center" wrapText="1"/>
    </xf>
    <xf numFmtId="3" fontId="25" fillId="22" borderId="42" xfId="33" applyNumberFormat="1" applyFont="1" applyFill="1" applyBorder="1" applyAlignment="1" applyProtection="1">
      <alignment horizontal="right" vertical="center"/>
      <protection locked="0"/>
    </xf>
    <xf numFmtId="3" fontId="25" fillId="22" borderId="43" xfId="33" applyNumberFormat="1" applyFont="1" applyFill="1" applyBorder="1" applyAlignment="1" applyProtection="1">
      <alignment horizontal="right" vertical="center"/>
      <protection locked="0"/>
    </xf>
    <xf numFmtId="179" fontId="22" fillId="0" borderId="0" xfId="0" applyNumberFormat="1" applyFont="1" applyFill="1" applyBorder="1" applyAlignment="1" applyProtection="1">
      <alignment horizontal="left" vertical="center" wrapText="1"/>
    </xf>
    <xf numFmtId="38" fontId="32" fillId="0" borderId="17" xfId="34" applyFont="1" applyBorder="1" applyAlignment="1" applyProtection="1">
      <alignment horizontal="left" vertical="center" wrapText="1"/>
    </xf>
    <xf numFmtId="38" fontId="32" fillId="0" borderId="62" xfId="34" applyFont="1" applyBorder="1" applyAlignment="1" applyProtection="1">
      <alignment horizontal="left" vertical="center"/>
    </xf>
    <xf numFmtId="38" fontId="32" fillId="0" borderId="18" xfId="34" applyFont="1" applyBorder="1" applyAlignment="1" applyProtection="1">
      <alignment horizontal="left" vertical="center"/>
    </xf>
    <xf numFmtId="38" fontId="22" fillId="0" borderId="52" xfId="34" applyFont="1" applyBorder="1" applyAlignment="1" applyProtection="1">
      <alignment horizontal="center" vertical="center"/>
    </xf>
    <xf numFmtId="38" fontId="21" fillId="0" borderId="16" xfId="34" applyFont="1" applyBorder="1" applyAlignment="1" applyProtection="1">
      <alignment horizontal="center" vertical="center"/>
    </xf>
    <xf numFmtId="38" fontId="21" fillId="0" borderId="16" xfId="34" applyFont="1" applyBorder="1" applyAlignment="1" applyProtection="1">
      <alignment horizontal="center" vertical="center" wrapText="1"/>
    </xf>
    <xf numFmtId="38" fontId="21" fillId="0" borderId="22" xfId="34" applyFont="1" applyBorder="1" applyAlignment="1" applyProtection="1">
      <alignment horizontal="left" vertical="center" wrapText="1"/>
    </xf>
    <xf numFmtId="38" fontId="21" fillId="0" borderId="16" xfId="34" applyFont="1" applyBorder="1" applyAlignment="1" applyProtection="1">
      <alignment horizontal="left" vertical="center" wrapText="1"/>
    </xf>
    <xf numFmtId="38" fontId="21" fillId="0" borderId="10" xfId="34" applyFont="1" applyBorder="1" applyAlignment="1" applyProtection="1">
      <alignment horizontal="left" vertical="center" wrapText="1"/>
    </xf>
    <xf numFmtId="38" fontId="21" fillId="0" borderId="30" xfId="34" applyFont="1" applyBorder="1" applyAlignment="1" applyProtection="1">
      <alignment horizontal="left" vertical="center" wrapText="1"/>
    </xf>
    <xf numFmtId="38" fontId="21" fillId="0" borderId="19" xfId="34" applyFont="1" applyBorder="1" applyAlignment="1" applyProtection="1">
      <alignment horizontal="left" vertical="center" wrapText="1"/>
    </xf>
    <xf numFmtId="38" fontId="22" fillId="15" borderId="54" xfId="34" applyFont="1" applyFill="1" applyBorder="1" applyAlignment="1" applyProtection="1">
      <alignment horizontal="center" vertical="center"/>
    </xf>
    <xf numFmtId="38" fontId="22" fillId="15" borderId="55" xfId="34" applyFont="1" applyFill="1" applyBorder="1" applyAlignment="1" applyProtection="1">
      <alignment horizontal="center" vertical="center"/>
    </xf>
    <xf numFmtId="38" fontId="22" fillId="15" borderId="56" xfId="34" applyFont="1" applyFill="1" applyBorder="1" applyAlignment="1" applyProtection="1">
      <alignment horizontal="center" vertical="center"/>
    </xf>
    <xf numFmtId="38" fontId="29" fillId="0" borderId="54" xfId="34" applyFont="1" applyBorder="1" applyAlignment="1" applyProtection="1">
      <alignment horizontal="center" vertical="center" wrapText="1"/>
    </xf>
    <xf numFmtId="38" fontId="29" fillId="0" borderId="61" xfId="34" applyFont="1" applyBorder="1" applyAlignment="1" applyProtection="1">
      <alignment horizontal="center" vertical="center" wrapText="1"/>
    </xf>
    <xf numFmtId="38" fontId="13" fillId="0" borderId="16" xfId="34" applyFont="1" applyBorder="1" applyAlignment="1" applyProtection="1">
      <alignment horizontal="right" vertical="center"/>
    </xf>
    <xf numFmtId="38" fontId="0" fillId="0" borderId="0" xfId="34" applyFont="1" applyBorder="1" applyAlignment="1" applyProtection="1">
      <alignment horizontal="right" vertical="center"/>
    </xf>
    <xf numFmtId="38" fontId="0" fillId="0" borderId="16" xfId="33" applyFont="1" applyBorder="1" applyAlignment="1" applyProtection="1">
      <alignment horizontal="center" vertical="center"/>
    </xf>
    <xf numFmtId="183" fontId="0" fillId="0" borderId="16" xfId="33" applyNumberFormat="1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2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0153B01-EFF1-4385-876A-13FDC8CC20BE}"/>
            </a:ext>
          </a:extLst>
        </xdr:cNvPr>
        <xdr:cNvCxnSpPr/>
      </xdr:nvCxnSpPr>
      <xdr:spPr>
        <a:xfrm flipH="1" flipV="1">
          <a:off x="4558454" y="3673687"/>
          <a:ext cx="277706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D9DC216-A0CB-486B-8892-FEA61D27308C}"/>
            </a:ext>
          </a:extLst>
        </xdr:cNvPr>
        <xdr:cNvCxnSpPr/>
      </xdr:nvCxnSpPr>
      <xdr:spPr>
        <a:xfrm flipH="1" flipV="1">
          <a:off x="4621954" y="366606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22ACD72-F19A-47AB-8423-A74C53D421C3}"/>
            </a:ext>
          </a:extLst>
        </xdr:cNvPr>
        <xdr:cNvCxnSpPr/>
      </xdr:nvCxnSpPr>
      <xdr:spPr>
        <a:xfrm flipH="1" flipV="1">
          <a:off x="4621954" y="366606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5AC839D-1245-4E70-B45D-B78627A4B93A}"/>
            </a:ext>
          </a:extLst>
        </xdr:cNvPr>
        <xdr:cNvCxnSpPr/>
      </xdr:nvCxnSpPr>
      <xdr:spPr>
        <a:xfrm flipH="1" flipV="1">
          <a:off x="4621954" y="366606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0AA7970-E0D7-401A-8E8E-28ADF953B9C3}"/>
            </a:ext>
          </a:extLst>
        </xdr:cNvPr>
        <xdr:cNvCxnSpPr/>
      </xdr:nvCxnSpPr>
      <xdr:spPr>
        <a:xfrm flipH="1" flipV="1">
          <a:off x="4621954" y="366606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357DA6B-7F55-47E5-95D5-62A95B3E6291}"/>
            </a:ext>
          </a:extLst>
        </xdr:cNvPr>
        <xdr:cNvCxnSpPr/>
      </xdr:nvCxnSpPr>
      <xdr:spPr>
        <a:xfrm flipH="1" flipV="1">
          <a:off x="4621954" y="337650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750994</xdr:colOff>
      <xdr:row>13</xdr:row>
      <xdr:rowOff>8467</xdr:rowOff>
    </xdr:from>
    <xdr:to>
      <xdr:col>5</xdr:col>
      <xdr:colOff>279717</xdr:colOff>
      <xdr:row>16</xdr:row>
      <xdr:rowOff>42334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F962ED5-7A1F-483C-860B-CCFF1C0904A8}"/>
            </a:ext>
          </a:extLst>
        </xdr:cNvPr>
        <xdr:cNvCxnSpPr/>
      </xdr:nvCxnSpPr>
      <xdr:spPr>
        <a:xfrm flipH="1" flipV="1">
          <a:off x="4621954" y="3376507"/>
          <a:ext cx="473603" cy="681567"/>
        </a:xfrm>
        <a:prstGeom prst="straightConnector1">
          <a:avLst/>
        </a:prstGeom>
        <a:ln w="381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view="pageBreakPreview" zoomScale="90" zoomScaleNormal="100" zoomScaleSheetLayoutView="90" workbookViewId="0">
      <selection activeCell="J35" sqref="J35"/>
    </sheetView>
  </sheetViews>
  <sheetFormatPr defaultRowHeight="13.2"/>
  <cols>
    <col min="1" max="2" width="18.88671875" customWidth="1"/>
    <col min="3" max="4" width="11.21875" bestFit="1" customWidth="1"/>
    <col min="5" max="5" width="12.44140625" bestFit="1" customWidth="1"/>
    <col min="6" max="6" width="11.21875" bestFit="1" customWidth="1"/>
    <col min="7" max="7" width="12.44140625" bestFit="1" customWidth="1"/>
    <col min="8" max="8" width="11.21875" bestFit="1" customWidth="1"/>
    <col min="9" max="9" width="12.44140625" bestFit="1" customWidth="1"/>
    <col min="10" max="10" width="11.21875" bestFit="1" customWidth="1"/>
    <col min="11" max="11" width="12.44140625" bestFit="1" customWidth="1"/>
    <col min="12" max="12" width="11.21875" bestFit="1" customWidth="1"/>
    <col min="13" max="13" width="12.44140625" bestFit="1" customWidth="1"/>
    <col min="14" max="14" width="11.21875" bestFit="1" customWidth="1"/>
    <col min="15" max="15" width="12.44140625" bestFit="1" customWidth="1"/>
    <col min="16" max="16" width="11.21875" bestFit="1" customWidth="1"/>
    <col min="17" max="17" width="12.44140625" bestFit="1" customWidth="1"/>
    <col min="18" max="18" width="11.21875" bestFit="1" customWidth="1"/>
    <col min="19" max="19" width="14.6640625" customWidth="1"/>
    <col min="20" max="34" width="11.44140625" bestFit="1" customWidth="1"/>
    <col min="35" max="43" width="11.44140625" customWidth="1"/>
  </cols>
  <sheetData>
    <row r="1" spans="1:19" ht="33" customHeight="1">
      <c r="A1" s="217" t="s">
        <v>170</v>
      </c>
    </row>
    <row r="2" spans="1:19" ht="16.2" customHeight="1">
      <c r="A2" s="171"/>
      <c r="I2" s="259" t="s">
        <v>50</v>
      </c>
      <c r="J2" s="259"/>
      <c r="K2" s="259"/>
      <c r="L2" s="259"/>
      <c r="M2" s="259"/>
      <c r="N2" s="259"/>
      <c r="O2" s="259"/>
      <c r="P2" s="259"/>
      <c r="Q2" s="259"/>
    </row>
    <row r="3" spans="1:19" ht="16.2" customHeight="1">
      <c r="A3" s="171"/>
      <c r="I3" s="173"/>
      <c r="J3" s="173"/>
      <c r="K3" s="173"/>
      <c r="L3" s="173"/>
      <c r="M3" s="173"/>
      <c r="N3" s="173"/>
      <c r="O3" s="173"/>
      <c r="P3" s="260">
        <v>44652</v>
      </c>
      <c r="Q3" s="260"/>
      <c r="R3" t="s">
        <v>156</v>
      </c>
    </row>
    <row r="4" spans="1:19" s="187" customFormat="1" ht="25.2" customHeight="1">
      <c r="A4" s="186" t="s">
        <v>150</v>
      </c>
    </row>
    <row r="5" spans="1:19" s="187" customFormat="1" ht="25.2" customHeight="1">
      <c r="A5" s="186" t="s">
        <v>165</v>
      </c>
    </row>
    <row r="6" spans="1:19" ht="13.8" thickBot="1"/>
    <row r="7" spans="1:19" s="169" customFormat="1" ht="31.95" customHeight="1" thickBot="1">
      <c r="E7" s="175" t="s">
        <v>129</v>
      </c>
      <c r="F7" s="176"/>
      <c r="G7" s="175" t="s">
        <v>130</v>
      </c>
      <c r="H7" s="176"/>
      <c r="I7" s="175" t="s">
        <v>131</v>
      </c>
      <c r="J7" s="176"/>
      <c r="K7" s="175" t="s">
        <v>132</v>
      </c>
      <c r="L7" s="176"/>
      <c r="M7" s="175" t="s">
        <v>133</v>
      </c>
      <c r="N7" s="176"/>
      <c r="O7" s="175" t="s">
        <v>134</v>
      </c>
      <c r="P7" s="170"/>
      <c r="Q7" s="175" t="s">
        <v>145</v>
      </c>
      <c r="R7" s="170"/>
      <c r="S7" s="179" t="s">
        <v>144</v>
      </c>
    </row>
    <row r="8" spans="1:19" ht="12.6" customHeight="1" thickBot="1"/>
    <row r="9" spans="1:19" ht="20.399999999999999" customHeight="1" thickBot="1">
      <c r="B9" s="247" t="s">
        <v>38</v>
      </c>
      <c r="C9" s="247"/>
      <c r="D9" s="248"/>
      <c r="E9" s="190">
        <v>1000000</v>
      </c>
      <c r="F9" s="5" t="s">
        <v>19</v>
      </c>
      <c r="G9" s="190">
        <v>20000000</v>
      </c>
      <c r="H9" s="5" t="s">
        <v>19</v>
      </c>
      <c r="I9" s="190"/>
      <c r="J9" s="5" t="s">
        <v>19</v>
      </c>
      <c r="K9" s="190"/>
      <c r="L9" s="5" t="s">
        <v>19</v>
      </c>
      <c r="M9" s="190"/>
      <c r="N9" s="5"/>
      <c r="O9" s="190"/>
      <c r="P9" s="5" t="s">
        <v>19</v>
      </c>
      <c r="Q9" s="190"/>
      <c r="R9" s="5" t="s">
        <v>19</v>
      </c>
      <c r="S9" s="184">
        <f>SUM(E9:R9)</f>
        <v>21000000</v>
      </c>
    </row>
    <row r="10" spans="1:19" ht="20.399999999999999" customHeight="1" thickBot="1">
      <c r="B10" s="247" t="s">
        <v>59</v>
      </c>
      <c r="C10" s="247"/>
      <c r="D10" s="248"/>
      <c r="E10" s="191">
        <v>500000</v>
      </c>
      <c r="F10" s="5" t="s">
        <v>19</v>
      </c>
      <c r="G10" s="191">
        <v>0</v>
      </c>
      <c r="H10" s="5" t="s">
        <v>19</v>
      </c>
      <c r="I10" s="191"/>
      <c r="J10" s="5" t="s">
        <v>19</v>
      </c>
      <c r="K10" s="191"/>
      <c r="L10" s="5" t="s">
        <v>19</v>
      </c>
      <c r="M10" s="191"/>
      <c r="N10" s="5" t="s">
        <v>19</v>
      </c>
      <c r="O10" s="191"/>
      <c r="P10" s="5" t="s">
        <v>19</v>
      </c>
      <c r="Q10" s="191"/>
      <c r="R10" s="5" t="s">
        <v>19</v>
      </c>
      <c r="S10" s="185"/>
    </row>
    <row r="11" spans="1:19" ht="28.2" customHeight="1" thickBot="1">
      <c r="A11" s="249" t="s">
        <v>169</v>
      </c>
      <c r="B11" s="249"/>
      <c r="C11" s="249"/>
      <c r="D11" s="250"/>
      <c r="E11" s="242">
        <v>0</v>
      </c>
      <c r="F11" s="243"/>
      <c r="G11" s="242">
        <v>0</v>
      </c>
      <c r="H11" s="243"/>
      <c r="I11" s="242">
        <v>0.1</v>
      </c>
      <c r="J11" s="243"/>
      <c r="K11" s="242">
        <v>0.1</v>
      </c>
      <c r="L11" s="243"/>
      <c r="M11" s="242">
        <v>0.1</v>
      </c>
      <c r="N11" s="243"/>
      <c r="O11" s="242">
        <v>0.1</v>
      </c>
      <c r="P11" s="243"/>
      <c r="Q11" s="242">
        <v>0.1</v>
      </c>
      <c r="R11" s="5"/>
      <c r="S11" s="185"/>
    </row>
    <row r="12" spans="1:19" ht="20.399999999999999" customHeight="1" thickBot="1">
      <c r="A12" s="247" t="s">
        <v>163</v>
      </c>
      <c r="B12" s="247"/>
      <c r="C12" s="247"/>
      <c r="D12" s="248"/>
      <c r="E12" s="192">
        <f>INT(E13*E11)</f>
        <v>0</v>
      </c>
      <c r="F12" s="226"/>
      <c r="G12" s="192">
        <f>INT(G13*G11)</f>
        <v>0</v>
      </c>
      <c r="H12" s="226"/>
      <c r="I12" s="192">
        <f>INT(I13*I11)</f>
        <v>0</v>
      </c>
      <c r="J12" s="226"/>
      <c r="K12" s="192">
        <f>INT(K13*K11)</f>
        <v>0</v>
      </c>
      <c r="L12" s="226"/>
      <c r="M12" s="192">
        <f>INT(M13*M11)</f>
        <v>0</v>
      </c>
      <c r="N12" s="226"/>
      <c r="O12" s="192">
        <f>INT(O13*O11)</f>
        <v>0</v>
      </c>
      <c r="P12" s="226"/>
      <c r="Q12" s="192">
        <f>INT(Q13*Q11)</f>
        <v>0</v>
      </c>
      <c r="R12" s="5"/>
      <c r="S12" s="185"/>
    </row>
    <row r="13" spans="1:19" ht="20.399999999999999" customHeight="1" thickBot="1">
      <c r="A13" s="256" t="s">
        <v>126</v>
      </c>
      <c r="B13" s="247" t="s">
        <v>149</v>
      </c>
      <c r="C13" s="247"/>
      <c r="D13" s="248"/>
      <c r="E13" s="234">
        <f>E9-E10</f>
        <v>500000</v>
      </c>
      <c r="F13" s="5" t="s">
        <v>19</v>
      </c>
      <c r="G13" s="192">
        <f>G9-G10</f>
        <v>20000000</v>
      </c>
      <c r="H13" s="5" t="s">
        <v>19</v>
      </c>
      <c r="I13" s="192">
        <f>I9-I10</f>
        <v>0</v>
      </c>
      <c r="J13" s="5" t="s">
        <v>19</v>
      </c>
      <c r="K13" s="192">
        <f>K9-K10</f>
        <v>0</v>
      </c>
      <c r="L13" s="5" t="s">
        <v>19</v>
      </c>
      <c r="M13" s="192">
        <f>M9-M10</f>
        <v>0</v>
      </c>
      <c r="N13" s="5" t="s">
        <v>19</v>
      </c>
      <c r="O13" s="192">
        <f>O9-O10</f>
        <v>0</v>
      </c>
      <c r="P13" s="5" t="s">
        <v>19</v>
      </c>
      <c r="Q13" s="192">
        <f>Q9-Q10</f>
        <v>0</v>
      </c>
      <c r="R13" s="5" t="s">
        <v>19</v>
      </c>
      <c r="S13" s="184">
        <f>SUM(E13:R13)</f>
        <v>20500000</v>
      </c>
    </row>
    <row r="14" spans="1:19" ht="20.399999999999999" customHeight="1" thickBot="1">
      <c r="A14" s="257"/>
      <c r="B14" s="247" t="s">
        <v>39</v>
      </c>
      <c r="C14" s="247"/>
      <c r="D14" s="248"/>
      <c r="E14" s="191">
        <v>4</v>
      </c>
      <c r="F14" s="5" t="s">
        <v>18</v>
      </c>
      <c r="G14" s="191">
        <v>7</v>
      </c>
      <c r="H14" s="5" t="s">
        <v>18</v>
      </c>
      <c r="I14" s="191"/>
      <c r="J14" s="5" t="s">
        <v>18</v>
      </c>
      <c r="K14" s="191"/>
      <c r="L14" s="5" t="s">
        <v>18</v>
      </c>
      <c r="M14" s="191"/>
      <c r="N14" s="5" t="s">
        <v>18</v>
      </c>
      <c r="O14" s="191"/>
      <c r="P14" s="5" t="s">
        <v>18</v>
      </c>
      <c r="Q14" s="191"/>
      <c r="R14" s="5" t="s">
        <v>18</v>
      </c>
    </row>
    <row r="15" spans="1:19" ht="19.8" thickBot="1">
      <c r="A15" s="235">
        <f>MAX(E15:Q15)</f>
        <v>44743</v>
      </c>
      <c r="B15" s="247" t="s">
        <v>65</v>
      </c>
      <c r="C15" s="247"/>
      <c r="D15" s="248"/>
      <c r="E15" s="193">
        <v>44652</v>
      </c>
      <c r="G15" s="193">
        <v>44743</v>
      </c>
      <c r="H15" s="12"/>
      <c r="I15" s="193"/>
      <c r="J15" s="12"/>
      <c r="K15" s="193"/>
      <c r="L15" s="12"/>
      <c r="M15" s="193"/>
      <c r="N15" s="12"/>
      <c r="O15" s="193"/>
      <c r="P15" s="12"/>
      <c r="Q15" s="193"/>
      <c r="R15" s="12"/>
    </row>
    <row r="16" spans="1:19" ht="17.399999999999999" customHeight="1">
      <c r="B16" s="258" t="s">
        <v>148</v>
      </c>
      <c r="C16" s="258"/>
      <c r="D16" s="258"/>
      <c r="E16" s="162">
        <f>IF(E15="","",IF(E14&gt;VLOOKUP($A$15,$A$23:$C$25,3,TRUE),EDATE(E15,VLOOKUP($A$15,$A$23:$C$25,3,TRUE)*12)-1,EDATE(E15,E14*12)-1))</f>
        <v>46112</v>
      </c>
      <c r="G16" s="162">
        <f>IF(G15="","",IF(G14&gt;VLOOKUP($A$15,$A$23:$C$25,3,TRUE),EDATE(G15,VLOOKUP($A$15,$A$23:$C$25,3,TRUE)*12)-1,EDATE(G15,G14*12)-1))</f>
        <v>47299</v>
      </c>
      <c r="I16" s="162" t="str">
        <f>IF(I15="","",IF(I14&gt;VLOOKUP($A$15,$A$23:$C$25,3,TRUE),EDATE(I15,VLOOKUP($A$15,$A$23:$C$25,3,TRUE)*12)-1,EDATE(I15,I14*12)-1))</f>
        <v/>
      </c>
      <c r="K16" s="162" t="str">
        <f>IF(K15="","",IF(K14&gt;VLOOKUP($A$15,$A$23:$C$25,3,TRUE),EDATE(K15,VLOOKUP($A$15,$A$23:$C$25,3,TRUE)*12)-1,EDATE(K15,K14*12)-1))</f>
        <v/>
      </c>
      <c r="M16" s="162" t="str">
        <f>IF(M15="","",IF(M14&gt;VLOOKUP($A$15,$A$23:$C$25,3,TRUE),EDATE(M15,VLOOKUP($A$15,$A$23:$C$25,3,TRUE)*12)-1,EDATE(M15,M14*12)-1))</f>
        <v/>
      </c>
      <c r="O16" s="162" t="str">
        <f>IF(O15="","",IF(O14&gt;VLOOKUP($A$15,$A$23:$C$25,3,TRUE),EDATE(O15,VLOOKUP($A$15,$A$23:$C$25,3,TRUE)*12)-1,EDATE(O15,O14*12)-1))</f>
        <v/>
      </c>
      <c r="Q16" s="162" t="str">
        <f>IF(Q15="","",IF(Q14&gt;VLOOKUP($A$15,$A$23:$C$25,3,TRUE),EDATE(Q15,VLOOKUP($A$15,$A$23:$C$25,3,TRUE)*12)-1,EDATE(Q15,Q14*12)-1))</f>
        <v/>
      </c>
    </row>
    <row r="17" spans="1:18" ht="11.4" customHeight="1">
      <c r="A17" s="167" t="s">
        <v>125</v>
      </c>
      <c r="E17" s="162"/>
      <c r="G17" s="162"/>
      <c r="I17" s="162"/>
      <c r="K17" s="162"/>
      <c r="M17" s="162"/>
      <c r="O17" s="162"/>
    </row>
    <row r="18" spans="1:18" s="13" customFormat="1" ht="23.4" customHeight="1">
      <c r="A18" s="262" t="s">
        <v>128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</row>
    <row r="19" spans="1:18" s="13" customFormat="1" ht="23.4" customHeight="1">
      <c r="A19" s="262" t="s">
        <v>147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</row>
    <row r="20" spans="1:18" ht="7.2" customHeight="1">
      <c r="E20" s="162"/>
      <c r="G20" s="162"/>
      <c r="I20" s="162"/>
      <c r="K20" s="162"/>
      <c r="M20" s="162"/>
      <c r="O20" s="162"/>
    </row>
    <row r="21" spans="1:18" ht="20.399999999999999" customHeight="1">
      <c r="A21" s="20" t="s">
        <v>70</v>
      </c>
      <c r="B21" s="14"/>
      <c r="C21" s="14"/>
      <c r="E21" s="162"/>
      <c r="G21" s="162"/>
      <c r="I21" s="162"/>
      <c r="K21" s="162"/>
      <c r="M21" s="162"/>
      <c r="O21" s="162"/>
    </row>
    <row r="22" spans="1:18" ht="26.4">
      <c r="A22" s="102" t="s">
        <v>101</v>
      </c>
      <c r="B22" s="172" t="s">
        <v>72</v>
      </c>
      <c r="C22" s="164" t="s">
        <v>127</v>
      </c>
      <c r="E22" s="162"/>
      <c r="G22" s="162"/>
      <c r="I22" s="162"/>
      <c r="K22" s="162"/>
      <c r="M22" s="162"/>
      <c r="O22" s="162"/>
    </row>
    <row r="23" spans="1:18" ht="16.95" customHeight="1">
      <c r="A23" s="194">
        <v>40634</v>
      </c>
      <c r="B23" s="101">
        <v>5000000</v>
      </c>
      <c r="C23" s="101">
        <v>7</v>
      </c>
      <c r="E23" s="162"/>
      <c r="G23" s="162"/>
      <c r="I23" s="162"/>
      <c r="K23" s="162"/>
      <c r="M23" s="162"/>
      <c r="O23" s="162"/>
    </row>
    <row r="24" spans="1:18" ht="16.95" customHeight="1">
      <c r="A24" s="194">
        <v>41730</v>
      </c>
      <c r="B24" s="101">
        <v>10000000</v>
      </c>
      <c r="C24" s="101">
        <v>7</v>
      </c>
      <c r="E24" s="162"/>
      <c r="G24" s="162"/>
      <c r="I24" s="162"/>
      <c r="K24" s="162"/>
      <c r="M24" s="162"/>
      <c r="O24" s="162"/>
    </row>
    <row r="25" spans="1:18" ht="16.95" customHeight="1">
      <c r="A25" s="194">
        <v>42095</v>
      </c>
      <c r="B25" s="101">
        <v>20000000</v>
      </c>
      <c r="C25" s="101">
        <v>9</v>
      </c>
      <c r="E25" s="162"/>
      <c r="G25" s="162"/>
      <c r="I25" s="162"/>
      <c r="K25" s="162"/>
      <c r="M25" s="162"/>
      <c r="O25" s="162"/>
    </row>
    <row r="26" spans="1:18" s="13" customFormat="1" ht="5.4" customHeight="1"/>
    <row r="27" spans="1:18" s="13" customFormat="1" ht="5.4" customHeight="1"/>
    <row r="28" spans="1:18" s="13" customFormat="1" ht="5.4" customHeight="1"/>
    <row r="29" spans="1:18" s="168" customFormat="1" ht="20.399999999999999" customHeight="1">
      <c r="A29" s="255"/>
      <c r="B29" s="255"/>
      <c r="C29" s="188">
        <v>40787</v>
      </c>
      <c r="D29" s="188">
        <f t="shared" ref="D29:R29" si="0">EDATE(C29,6)</f>
        <v>40969</v>
      </c>
      <c r="E29" s="188">
        <f t="shared" si="0"/>
        <v>41153</v>
      </c>
      <c r="F29" s="188">
        <f t="shared" si="0"/>
        <v>41334</v>
      </c>
      <c r="G29" s="188">
        <f t="shared" si="0"/>
        <v>41518</v>
      </c>
      <c r="H29" s="188">
        <f t="shared" si="0"/>
        <v>41699</v>
      </c>
      <c r="I29" s="188">
        <f t="shared" si="0"/>
        <v>41883</v>
      </c>
      <c r="J29" s="188">
        <f t="shared" si="0"/>
        <v>42064</v>
      </c>
      <c r="K29" s="188">
        <f t="shared" si="0"/>
        <v>42248</v>
      </c>
      <c r="L29" s="188">
        <f t="shared" si="0"/>
        <v>42430</v>
      </c>
      <c r="M29" s="188">
        <f t="shared" si="0"/>
        <v>42614</v>
      </c>
      <c r="N29" s="188">
        <f t="shared" si="0"/>
        <v>42795</v>
      </c>
      <c r="O29" s="188">
        <f t="shared" si="0"/>
        <v>42979</v>
      </c>
      <c r="P29" s="188">
        <f t="shared" si="0"/>
        <v>43160</v>
      </c>
      <c r="Q29" s="188">
        <f t="shared" si="0"/>
        <v>43344</v>
      </c>
      <c r="R29" s="188">
        <f t="shared" si="0"/>
        <v>43525</v>
      </c>
    </row>
    <row r="30" spans="1:18" s="13" customFormat="1" ht="20.399999999999999" customHeight="1">
      <c r="A30" s="261" t="s">
        <v>142</v>
      </c>
      <c r="B30" s="261"/>
      <c r="C30" s="174">
        <f>VLOOKUP(C$29,'計算書（明細）'!$B$3:$X$482,23,TRUE)</f>
        <v>0</v>
      </c>
      <c r="D30" s="174">
        <f>VLOOKUP(D$29,'計算書（明細）'!$B$3:$X$482,23,TRUE)</f>
        <v>0</v>
      </c>
      <c r="E30" s="174">
        <f>VLOOKUP(E$29,'計算書（明細）'!$B$3:$X$482,23,TRUE)</f>
        <v>0</v>
      </c>
      <c r="F30" s="174">
        <f>VLOOKUP(F$29,'計算書（明細）'!$B$3:$X$482,23,TRUE)</f>
        <v>0</v>
      </c>
      <c r="G30" s="174">
        <f>VLOOKUP(G$29,'計算書（明細）'!$B$3:$X$482,23,TRUE)</f>
        <v>0</v>
      </c>
      <c r="H30" s="174">
        <f>VLOOKUP(H$29,'計算書（明細）'!$B$3:$X$482,23,TRUE)</f>
        <v>0</v>
      </c>
      <c r="I30" s="174">
        <f>VLOOKUP(I$29,'計算書（明細）'!$B$3:$X$482,23,TRUE)</f>
        <v>0</v>
      </c>
      <c r="J30" s="174">
        <f>VLOOKUP(J$29,'計算書（明細）'!$B$3:$X$482,23,TRUE)</f>
        <v>0</v>
      </c>
      <c r="K30" s="174">
        <f>VLOOKUP(K$29,'計算書（明細）'!$B$3:$X$482,23,TRUE)</f>
        <v>0</v>
      </c>
      <c r="L30" s="174">
        <f>VLOOKUP(L$29,'計算書（明細）'!$B$3:$X$482,23,TRUE)</f>
        <v>0</v>
      </c>
      <c r="M30" s="174">
        <f>VLOOKUP(M$29,'計算書（明細）'!$B$3:$X$482,23,TRUE)</f>
        <v>0</v>
      </c>
      <c r="N30" s="174">
        <f>VLOOKUP(N$29,'計算書（明細）'!$B$3:$X$482,23,TRUE)</f>
        <v>0</v>
      </c>
      <c r="O30" s="174">
        <f>VLOOKUP(O$29,'計算書（明細）'!$B$3:$X$482,23,TRUE)</f>
        <v>0</v>
      </c>
      <c r="P30" s="174">
        <f>VLOOKUP(P$29,'計算書（明細）'!$B$3:$X$482,23,TRUE)</f>
        <v>0</v>
      </c>
      <c r="Q30" s="174">
        <f>VLOOKUP(Q$29,'計算書（明細）'!$B$3:$X$482,23,TRUE)</f>
        <v>0</v>
      </c>
      <c r="R30" s="174">
        <f>VLOOKUP(R$29,'計算書（明細）'!$B$3:$X$482,23,TRUE)</f>
        <v>0</v>
      </c>
    </row>
    <row r="31" spans="1:18" ht="31.95" customHeight="1">
      <c r="A31" s="253" t="s">
        <v>151</v>
      </c>
      <c r="B31" s="254"/>
      <c r="C31" s="196">
        <f>IF((VLOOKUP(C29,'計算書（明細）'!$B$2:$X$482,20,TRUE))*0.9&gt;VLOOKUP(C29,'計算書（明細）'!$B$2:$X$482,21,TRUE),VLOOKUP(C29,'計算書（明細）'!$B$2:$X$482,21,TRUE),(VLOOKUP(C29,'計算書（明細）'!$B$2:$X$482,20,TRUE))*0.9)</f>
        <v>0</v>
      </c>
      <c r="D31" s="196">
        <f>IF((VLOOKUP(D29,'計算書（明細）'!$B$2:$X$482,20,TRUE))*0.9&gt;VLOOKUP(D29,'計算書（明細）'!$B$2:$X$482,21,TRUE),VLOOKUP(D29,'計算書（明細）'!$B$2:$X$482,21,TRUE),(VLOOKUP(D29,'計算書（明細）'!$B$2:$X$482,20,TRUE))*0.9)</f>
        <v>0</v>
      </c>
      <c r="E31" s="196">
        <f>IF((VLOOKUP(E29,'計算書（明細）'!$B$2:$X$482,20,TRUE))*0.9&gt;VLOOKUP(E29,'計算書（明細）'!$B$2:$X$482,21,TRUE),VLOOKUP(E29,'計算書（明細）'!$B$2:$X$482,21,TRUE),(VLOOKUP(E29,'計算書（明細）'!$B$2:$X$482,20,TRUE))*0.9)</f>
        <v>0</v>
      </c>
      <c r="F31" s="196">
        <f>IF((VLOOKUP(F29,'計算書（明細）'!$B$2:$X$482,20,TRUE))*0.9&gt;VLOOKUP(F29,'計算書（明細）'!$B$2:$X$482,21,TRUE),VLOOKUP(F29,'計算書（明細）'!$B$2:$X$482,21,TRUE),(VLOOKUP(F29,'計算書（明細）'!$B$2:$X$482,20,TRUE))*0.9)</f>
        <v>0</v>
      </c>
      <c r="G31" s="196">
        <f>IF((VLOOKUP(G29,'計算書（明細）'!$B$2:$X$482,20,TRUE))*0.9&gt;VLOOKUP(G29,'計算書（明細）'!$B$2:$X$482,21,TRUE),VLOOKUP(G29,'計算書（明細）'!$B$2:$X$482,21,TRUE),(VLOOKUP(G29,'計算書（明細）'!$B$2:$X$482,20,TRUE))*0.9)</f>
        <v>0</v>
      </c>
      <c r="H31" s="196">
        <f>IF((VLOOKUP(H29,'計算書（明細）'!$B$2:$X$482,20,TRUE))*0.9&gt;VLOOKUP(H29,'計算書（明細）'!$B$2:$X$482,21,TRUE),VLOOKUP(H29,'計算書（明細）'!$B$2:$X$482,21,TRUE),(VLOOKUP(H29,'計算書（明細）'!$B$2:$X$482,20,TRUE))*0.9)</f>
        <v>0</v>
      </c>
      <c r="I31" s="196">
        <f>IF((VLOOKUP(I29,'計算書（明細）'!$B$2:$X$482,20,TRUE))*0.9&gt;VLOOKUP(I29,'計算書（明細）'!$B$2:$X$482,21,TRUE),VLOOKUP(I29,'計算書（明細）'!$B$2:$X$482,21,TRUE),(VLOOKUP(I29,'計算書（明細）'!$B$2:$X$482,20,TRUE))*0.9)</f>
        <v>0</v>
      </c>
      <c r="J31" s="196">
        <f>IF((VLOOKUP(J29,'計算書（明細）'!$B$2:$X$482,20,TRUE))*0.9&gt;VLOOKUP(J29,'計算書（明細）'!$B$2:$X$482,21,TRUE),VLOOKUP(J29,'計算書（明細）'!$B$2:$X$482,21,TRUE),(VLOOKUP(J29,'計算書（明細）'!$B$2:$X$482,20,TRUE))*0.9)</f>
        <v>0</v>
      </c>
      <c r="K31" s="196">
        <f>IF((VLOOKUP(K29,'計算書（明細）'!$B$2:$X$482,20,TRUE))*0.9&gt;VLOOKUP(K29,'計算書（明細）'!$B$2:$X$482,21,TRUE),VLOOKUP(K29,'計算書（明細）'!$B$2:$X$482,21,TRUE),(VLOOKUP(K29,'計算書（明細）'!$B$2:$X$482,20,TRUE))*0.9)</f>
        <v>0</v>
      </c>
      <c r="L31" s="196">
        <f>IF((VLOOKUP(L29,'計算書（明細）'!$B$2:$X$482,20,TRUE))*0.9&gt;VLOOKUP(L29,'計算書（明細）'!$B$2:$X$482,21,TRUE),VLOOKUP(L29,'計算書（明細）'!$B$2:$X$482,21,TRUE),(VLOOKUP(L29,'計算書（明細）'!$B$2:$X$482,20,TRUE))*0.9)</f>
        <v>0</v>
      </c>
      <c r="M31" s="196">
        <f>IF((VLOOKUP(M29,'計算書（明細）'!$B$2:$X$482,20,TRUE))*0.9&gt;VLOOKUP(M29,'計算書（明細）'!$B$2:$X$482,21,TRUE),VLOOKUP(M29,'計算書（明細）'!$B$2:$X$482,21,TRUE),(VLOOKUP(M29,'計算書（明細）'!$B$2:$X$482,20,TRUE))*0.9)</f>
        <v>0</v>
      </c>
      <c r="N31" s="196">
        <f>IF((VLOOKUP(N29,'計算書（明細）'!$B$2:$X$482,20,TRUE))*0.9&gt;VLOOKUP(N29,'計算書（明細）'!$B$2:$X$482,21,TRUE),VLOOKUP(N29,'計算書（明細）'!$B$2:$X$482,21,TRUE),(VLOOKUP(N29,'計算書（明細）'!$B$2:$X$482,20,TRUE))*0.9)</f>
        <v>0</v>
      </c>
      <c r="O31" s="196">
        <f>IF((VLOOKUP(O29,'計算書（明細）'!$B$2:$X$482,20,TRUE))*0.9&gt;VLOOKUP(O29,'計算書（明細）'!$B$2:$X$482,21,TRUE),VLOOKUP(O29,'計算書（明細）'!$B$2:$X$482,21,TRUE),(VLOOKUP(O29,'計算書（明細）'!$B$2:$X$482,20,TRUE))*0.9)</f>
        <v>0</v>
      </c>
      <c r="P31" s="196">
        <f>IF((VLOOKUP(P29,'計算書（明細）'!$B$2:$X$482,20,TRUE))*0.9&gt;VLOOKUP(P29,'計算書（明細）'!$B$2:$X$482,21,TRUE),VLOOKUP(P29,'計算書（明細）'!$B$2:$X$482,21,TRUE),(VLOOKUP(P29,'計算書（明細）'!$B$2:$X$482,20,TRUE))*0.9)</f>
        <v>0</v>
      </c>
      <c r="Q31" s="196">
        <f>IF((VLOOKUP(Q29,'計算書（明細）'!$B$2:$X$482,20,TRUE))*0.95&gt;VLOOKUP(Q29,'計算書（明細）'!$B$2:$X$482,21,TRUE),VLOOKUP(Q29,'計算書（明細）'!$B$2:$X$482,21,TRUE),(VLOOKUP(Q29,'計算書（明細）'!$B$2:$X$482,20,TRUE))*0.95)</f>
        <v>0</v>
      </c>
      <c r="R31" s="196">
        <f>IF((VLOOKUP(R29,'計算書（明細）'!$B$2:$X$482,20,TRUE))*0.95&gt;VLOOKUP(R29,'計算書（明細）'!$B$2:$X$482,21,TRUE),VLOOKUP(R29,'計算書（明細）'!$B$2:$X$482,21,TRUE),(VLOOKUP(R29,'計算書（明細）'!$B$2:$X$482,20,TRUE))*0.95)</f>
        <v>0</v>
      </c>
    </row>
    <row r="32" spans="1:18" ht="4.2" customHeight="1"/>
    <row r="33" spans="1:18" ht="20.399999999999999" customHeight="1">
      <c r="A33" s="255"/>
      <c r="B33" s="255"/>
      <c r="C33" s="188">
        <f>EDATE(R29,6)</f>
        <v>43709</v>
      </c>
      <c r="D33" s="188">
        <f t="shared" ref="D33:R33" si="1">EDATE(C33,6)</f>
        <v>43891</v>
      </c>
      <c r="E33" s="188">
        <f t="shared" si="1"/>
        <v>44075</v>
      </c>
      <c r="F33" s="188">
        <f t="shared" si="1"/>
        <v>44256</v>
      </c>
      <c r="G33" s="188">
        <f t="shared" si="1"/>
        <v>44440</v>
      </c>
      <c r="H33" s="188">
        <f t="shared" si="1"/>
        <v>44621</v>
      </c>
      <c r="I33" s="188">
        <f t="shared" si="1"/>
        <v>44805</v>
      </c>
      <c r="J33" s="188">
        <f t="shared" si="1"/>
        <v>44986</v>
      </c>
      <c r="K33" s="188">
        <f t="shared" si="1"/>
        <v>45170</v>
      </c>
      <c r="L33" s="188">
        <f t="shared" si="1"/>
        <v>45352</v>
      </c>
      <c r="M33" s="188">
        <f t="shared" si="1"/>
        <v>45536</v>
      </c>
      <c r="N33" s="188">
        <f t="shared" si="1"/>
        <v>45717</v>
      </c>
      <c r="O33" s="188">
        <f t="shared" si="1"/>
        <v>45901</v>
      </c>
      <c r="P33" s="188">
        <f t="shared" si="1"/>
        <v>46082</v>
      </c>
      <c r="Q33" s="188">
        <f t="shared" si="1"/>
        <v>46266</v>
      </c>
      <c r="R33" s="188">
        <f t="shared" si="1"/>
        <v>46447</v>
      </c>
    </row>
    <row r="34" spans="1:18" ht="20.399999999999999" customHeight="1">
      <c r="A34" s="251" t="s">
        <v>142</v>
      </c>
      <c r="B34" s="252"/>
      <c r="C34" s="174">
        <f>VLOOKUP(C$33,'計算書（明細）'!$B$3:$X$482,23,TRUE)</f>
        <v>0</v>
      </c>
      <c r="D34" s="174">
        <f>VLOOKUP(D$33,'計算書（明細）'!$B$3:$X$482,23,TRUE)</f>
        <v>0</v>
      </c>
      <c r="E34" s="174">
        <f>VLOOKUP(E$33,'計算書（明細）'!$B$3:$X$482,23,TRUE)</f>
        <v>0</v>
      </c>
      <c r="F34" s="174">
        <f>VLOOKUP(F$33,'計算書（明細）'!$B$3:$X$482,23,TRUE)</f>
        <v>0</v>
      </c>
      <c r="G34" s="174">
        <f>VLOOKUP(G$33,'計算書（明細）'!$B$3:$X$482,23,TRUE)</f>
        <v>0</v>
      </c>
      <c r="H34" s="174">
        <f>VLOOKUP(H$33,'計算書（明細）'!$B$3:$X$482,23,TRUE)</f>
        <v>0</v>
      </c>
      <c r="I34" s="174">
        <f>VLOOKUP(I$33,'計算書（明細）'!$B$3:$X$482,23,TRUE)</f>
        <v>24660</v>
      </c>
      <c r="J34" s="174">
        <f>VLOOKUP(J$33,'計算書（明細）'!$B$3:$X$482,23,TRUE)</f>
        <v>48000</v>
      </c>
      <c r="K34" s="174">
        <f>VLOOKUP(K$33,'計算書（明細）'!$B$3:$X$482,23,TRUE)</f>
        <v>48000</v>
      </c>
      <c r="L34" s="174">
        <f>VLOOKUP(L$33,'計算書（明細）'!$B$3:$X$482,23,TRUE)</f>
        <v>44196</v>
      </c>
      <c r="M34" s="174">
        <f>VLOOKUP(M$33,'計算書（明細）'!$B$3:$X$482,23,TRUE)</f>
        <v>40259</v>
      </c>
      <c r="N34" s="174">
        <f>VLOOKUP(N$33,'計算書（明細）'!$B$3:$X$482,23,TRUE)</f>
        <v>36323</v>
      </c>
      <c r="O34" s="174">
        <f>VLOOKUP(O$33,'計算書（明細）'!$B$3:$X$482,23,TRUE)</f>
        <v>32387</v>
      </c>
      <c r="P34" s="174">
        <f>VLOOKUP(P$33,'計算書（明細）'!$B$3:$X$482,23,TRUE)</f>
        <v>28450</v>
      </c>
      <c r="Q34" s="174">
        <f>VLOOKUP(Q$33,'計算書（明細）'!$B$3:$X$482,23,TRUE)</f>
        <v>24514</v>
      </c>
      <c r="R34" s="174">
        <f>VLOOKUP(R$33,'計算書（明細）'!$B$3:$X$482,23,TRUE)</f>
        <v>20742</v>
      </c>
    </row>
    <row r="35" spans="1:18" ht="31.95" customHeight="1">
      <c r="A35" s="253" t="s">
        <v>151</v>
      </c>
      <c r="B35" s="254"/>
      <c r="C35" s="196">
        <f>IF((VLOOKUP(C33,'計算書（明細）'!$B$2:$X$482,20,TRUE))*0.95&gt;VLOOKUP(C33,'計算書（明細）'!$B$2:$X$482,21,TRUE),VLOOKUP(C33,'計算書（明細）'!$B$2:$X$482,21,TRUE),(VLOOKUP(C33,'計算書（明細）'!$B$2:$X$482,20,TRUE))*0.95)</f>
        <v>0</v>
      </c>
      <c r="D35" s="196">
        <f>IF((VLOOKUP(D33,'計算書（明細）'!$B$2:$X$482,20,TRUE))*0.95&gt;VLOOKUP(D33,'計算書（明細）'!$B$2:$X$482,21,TRUE),VLOOKUP(D33,'計算書（明細）'!$B$2:$X$482,21,TRUE),(VLOOKUP(D33,'計算書（明細）'!$B$2:$X$482,20,TRUE))*0.95)</f>
        <v>0</v>
      </c>
      <c r="E35" s="196">
        <f>IF((VLOOKUP(E33,'計算書（明細）'!$B$2:$X$482,20,TRUE))*0.95&gt;VLOOKUP(E33,'計算書（明細）'!$B$2:$X$482,21,TRUE),VLOOKUP(E33,'計算書（明細）'!$B$2:$X$482,21,TRUE),(VLOOKUP(E33,'計算書（明細）'!$B$2:$X$482,20,TRUE))*0.95)</f>
        <v>0</v>
      </c>
      <c r="F35" s="196">
        <f>IF((VLOOKUP(F33,'計算書（明細）'!$B$2:$X$482,20,TRUE))*0.95&gt;VLOOKUP(F33,'計算書（明細）'!$B$2:$X$482,21,TRUE),VLOOKUP(F33,'計算書（明細）'!$B$2:$X$482,21,TRUE),(VLOOKUP(F33,'計算書（明細）'!$B$2:$X$482,20,TRUE))*0.95)</f>
        <v>0</v>
      </c>
      <c r="G35" s="196">
        <f>IF((VLOOKUP(G33,'計算書（明細）'!$B$2:$X$482,20,TRUE))*0.95&gt;VLOOKUP(G33,'計算書（明細）'!$B$2:$X$482,21,TRUE),VLOOKUP(G33,'計算書（明細）'!$B$2:$X$482,21,TRUE),(VLOOKUP(G33,'計算書（明細）'!$B$2:$X$482,20,TRUE))*0.95)</f>
        <v>0</v>
      </c>
      <c r="H35" s="196">
        <f>IF((VLOOKUP(H33,'計算書（明細）'!$B$2:$X$482,20,TRUE))*0.95&gt;VLOOKUP(H33,'計算書（明細）'!$B$2:$X$482,21,TRUE),VLOOKUP(H33,'計算書（明細）'!$B$2:$X$482,21,TRUE),(VLOOKUP(H33,'計算書（明細）'!$B$2:$X$482,20,TRUE))*0.95)</f>
        <v>0</v>
      </c>
      <c r="I35" s="196">
        <f>IF((VLOOKUP(I33,'計算書（明細）'!$B$2:$X$482,20,TRUE))*0.95&gt;VLOOKUP(I33,'計算書（明細）'!$B$2:$X$482,21,TRUE),VLOOKUP(I33,'計算書（明細）'!$B$2:$X$482,21,TRUE),(VLOOKUP(I33,'計算書（明細）'!$B$2:$X$482,20,TRUE))*0.95)</f>
        <v>20000000</v>
      </c>
      <c r="J35" s="196">
        <f>IF((VLOOKUP(J33,'計算書（明細）'!$B$2:$X$482,20,TRUE))*0.95&gt;VLOOKUP(J33,'計算書（明細）'!$B$2:$X$482,21,TRUE),VLOOKUP(J33,'計算書（明細）'!$B$2:$X$482,21,TRUE),(VLOOKUP(J33,'計算書（明細）'!$B$2:$X$482,20,TRUE))*0.95)</f>
        <v>20000000</v>
      </c>
      <c r="K35" s="196">
        <f>IF((VLOOKUP(K33,'計算書（明細）'!$B$2:$X$482,20,TRUE))*0.95&gt;VLOOKUP(K33,'計算書（明細）'!$B$2:$X$482,21,TRUE),VLOOKUP(K33,'計算書（明細）'!$B$2:$X$482,21,TRUE),(VLOOKUP(K33,'計算書（明細）'!$B$2:$X$482,20,TRUE))*0.95)</f>
        <v>19052581.550000001</v>
      </c>
      <c r="L35" s="196">
        <f>IF((VLOOKUP(L33,'計算書（明細）'!$B$2:$X$482,20,TRUE))*0.95&gt;VLOOKUP(L33,'計算書（明細）'!$B$2:$X$482,21,TRUE),VLOOKUP(L33,'計算書（明細）'!$B$2:$X$482,21,TRUE),(VLOOKUP(L33,'計算書（明細）'!$B$2:$X$482,20,TRUE))*0.95)</f>
        <v>17494412.449999999</v>
      </c>
      <c r="M35" s="196">
        <f>IF((VLOOKUP(M33,'計算書（明細）'!$B$2:$X$482,20,TRUE))*0.95&gt;VLOOKUP(M33,'計算書（明細）'!$B$2:$X$482,21,TRUE),VLOOKUP(M33,'計算書（明細）'!$B$2:$X$482,21,TRUE),(VLOOKUP(M33,'計算書（明細）'!$B$2:$X$482,20,TRUE))*0.95)</f>
        <v>15936243.35</v>
      </c>
      <c r="N35" s="196">
        <f>IF((VLOOKUP(N33,'計算書（明細）'!$B$2:$X$482,20,TRUE))*0.95&gt;VLOOKUP(N33,'計算書（明細）'!$B$2:$X$482,21,TRUE),VLOOKUP(N33,'計算書（明細）'!$B$2:$X$482,21,TRUE),(VLOOKUP(N33,'計算書（明細）'!$B$2:$X$482,20,TRUE))*0.95)</f>
        <v>14378074.25</v>
      </c>
      <c r="O35" s="196">
        <f>IF((VLOOKUP(O33,'計算書（明細）'!$B$2:$X$482,20,TRUE))*0.95&gt;VLOOKUP(O33,'計算書（明細）'!$B$2:$X$482,21,TRUE),VLOOKUP(O33,'計算書（明細）'!$B$2:$X$482,21,TRUE),(VLOOKUP(O33,'計算書（明細）'!$B$2:$X$482,20,TRUE))*0.95)</f>
        <v>12819905.149999999</v>
      </c>
      <c r="P35" s="196">
        <f>IF((VLOOKUP(P33,'計算書（明細）'!$B$2:$X$482,20,TRUE))*0.95&gt;VLOOKUP(P33,'計算書（明細）'!$B$2:$X$482,21,TRUE),VLOOKUP(P33,'計算書（明細）'!$B$2:$X$482,21,TRUE),(VLOOKUP(P33,'計算書（明細）'!$B$2:$X$482,20,TRUE))*0.95)</f>
        <v>11261736.049999999</v>
      </c>
      <c r="Q35" s="196">
        <f>IF((VLOOKUP(Q33,'計算書（明細）'!$B$2:$X$482,20,TRUE))*0.95&gt;VLOOKUP(Q33,'計算書（明細）'!$B$2:$X$482,21,TRUE),VLOOKUP(Q33,'計算書（明細）'!$B$2:$X$482,21,TRUE),(VLOOKUP(Q33,'計算書（明細）'!$B$2:$X$482,20,TRUE))*0.95)</f>
        <v>9703566.9499999993</v>
      </c>
      <c r="R35" s="196">
        <f>IF((VLOOKUP(R33,'計算書（明細）'!$B$2:$X$482,20,TRUE))*0.95&gt;VLOOKUP(R33,'計算書（明細）'!$B$2:$X$482,21,TRUE),VLOOKUP(R33,'計算書（明細）'!$B$2:$X$482,21,TRUE),(VLOOKUP(R33,'計算書（明細）'!$B$2:$X$482,20,TRUE))*0.95)</f>
        <v>8210710.3499999996</v>
      </c>
    </row>
    <row r="36" spans="1:18" ht="4.2" customHeight="1"/>
    <row r="37" spans="1:18" ht="20.399999999999999" customHeight="1">
      <c r="A37" s="255"/>
      <c r="B37" s="255"/>
      <c r="C37" s="188">
        <f>EDATE(R33,6)</f>
        <v>46631</v>
      </c>
      <c r="D37" s="188">
        <f t="shared" ref="D37:R37" si="2">EDATE(C37,6)</f>
        <v>46813</v>
      </c>
      <c r="E37" s="188">
        <f t="shared" si="2"/>
        <v>46997</v>
      </c>
      <c r="F37" s="188">
        <f t="shared" si="2"/>
        <v>47178</v>
      </c>
      <c r="G37" s="188">
        <f t="shared" si="2"/>
        <v>47362</v>
      </c>
      <c r="H37" s="188">
        <f t="shared" si="2"/>
        <v>47543</v>
      </c>
      <c r="I37" s="188">
        <f t="shared" si="2"/>
        <v>47727</v>
      </c>
      <c r="J37" s="188">
        <f t="shared" si="2"/>
        <v>47908</v>
      </c>
      <c r="K37" s="188">
        <f t="shared" si="2"/>
        <v>48092</v>
      </c>
      <c r="L37" s="188">
        <f t="shared" si="2"/>
        <v>48274</v>
      </c>
      <c r="M37" s="188">
        <f t="shared" si="2"/>
        <v>48458</v>
      </c>
      <c r="N37" s="188">
        <f t="shared" si="2"/>
        <v>48639</v>
      </c>
      <c r="O37" s="188">
        <f t="shared" si="2"/>
        <v>48823</v>
      </c>
      <c r="P37" s="188">
        <f t="shared" si="2"/>
        <v>49004</v>
      </c>
      <c r="Q37" s="188">
        <f t="shared" si="2"/>
        <v>49188</v>
      </c>
      <c r="R37" s="188">
        <f t="shared" si="2"/>
        <v>49369</v>
      </c>
    </row>
    <row r="38" spans="1:18" ht="20.399999999999999" customHeight="1">
      <c r="A38" s="251" t="s">
        <v>142</v>
      </c>
      <c r="B38" s="252"/>
      <c r="C38" s="174">
        <f>VLOOKUP(C$37,'計算書（明細）'!$B$3:$X$482,23,TRUE)</f>
        <v>16971</v>
      </c>
      <c r="D38" s="174">
        <f>VLOOKUP(D$37,'計算書（明細）'!$B$3:$X$482,23,TRUE)</f>
        <v>13199</v>
      </c>
      <c r="E38" s="174">
        <f>VLOOKUP(E$37,'計算書（明細）'!$B$3:$X$482,23,TRUE)</f>
        <v>9428</v>
      </c>
      <c r="F38" s="174">
        <f>VLOOKUP(F$37,'計算書（明細）'!$B$3:$X$482,23,TRUE)</f>
        <v>5657</v>
      </c>
      <c r="G38" s="174">
        <f>VLOOKUP(G$37,'計算書（明細）'!$B$3:$X$482,23,TRUE)</f>
        <v>942</v>
      </c>
      <c r="H38" s="174">
        <f>VLOOKUP(H$37,'計算書（明細）'!$B$3:$X$482,23,TRUE)</f>
        <v>0</v>
      </c>
      <c r="I38" s="174">
        <f>VLOOKUP(I$37,'計算書（明細）'!$B$3:$X$482,23,TRUE)</f>
        <v>0</v>
      </c>
      <c r="J38" s="174">
        <f>VLOOKUP(J$37,'計算書（明細）'!$B$3:$X$482,23,TRUE)</f>
        <v>0</v>
      </c>
      <c r="K38" s="174">
        <f>VLOOKUP(K$37,'計算書（明細）'!$B$3:$X$482,23,TRUE)</f>
        <v>0</v>
      </c>
      <c r="L38" s="174">
        <f>VLOOKUP(L$37,'計算書（明細）'!$B$3:$X$482,23,TRUE)</f>
        <v>0</v>
      </c>
      <c r="M38" s="174">
        <f>VLOOKUP(M$37,'計算書（明細）'!$B$3:$X$482,23,TRUE)</f>
        <v>0</v>
      </c>
      <c r="N38" s="174">
        <f>VLOOKUP(N$37,'計算書（明細）'!$B$3:$X$482,23,TRUE)</f>
        <v>0</v>
      </c>
      <c r="O38" s="174">
        <f>VLOOKUP(O$37,'計算書（明細）'!$B$3:$X$482,23,TRUE)</f>
        <v>0</v>
      </c>
      <c r="P38" s="174">
        <f>VLOOKUP(P$37,'計算書（明細）'!$B$3:$X$482,23,TRUE)</f>
        <v>0</v>
      </c>
      <c r="Q38" s="174">
        <f>VLOOKUP(Q$37,'計算書（明細）'!$B$3:$X$482,23,TRUE)</f>
        <v>0</v>
      </c>
      <c r="R38" s="174">
        <f>VLOOKUP(R$37,'計算書（明細）'!$B$3:$X$482,23,TRUE)</f>
        <v>0</v>
      </c>
    </row>
    <row r="39" spans="1:18" ht="31.95" customHeight="1">
      <c r="A39" s="253" t="s">
        <v>151</v>
      </c>
      <c r="B39" s="254"/>
      <c r="C39" s="196">
        <f>IF((VLOOKUP(C37,'計算書（明細）'!$B$2:$X$482,20,TRUE))*0.95&gt;VLOOKUP(C37,'計算書（明細）'!$B$2:$X$482,21,TRUE),VLOOKUP(C37,'計算書（明細）'!$B$2:$X$482,21,TRUE),(VLOOKUP(C37,'計算書（明細）'!$B$2:$X$482,20,TRUE))*0.95)</f>
        <v>6717853.75</v>
      </c>
      <c r="D39" s="196">
        <f>IF((VLOOKUP(D37,'計算書（明細）'!$B$2:$X$482,20,TRUE))*0.95&gt;VLOOKUP(D37,'計算書（明細）'!$B$2:$X$482,21,TRUE),VLOOKUP(D37,'計算書（明細）'!$B$2:$X$482,21,TRUE),(VLOOKUP(D37,'計算書（明細）'!$B$2:$X$482,20,TRUE))*0.95)</f>
        <v>5224997.1499999994</v>
      </c>
      <c r="E39" s="196">
        <f>IF((VLOOKUP(E37,'計算書（明細）'!$B$2:$X$482,20,TRUE))*0.95&gt;VLOOKUP(E37,'計算書（明細）'!$B$2:$X$482,21,TRUE),VLOOKUP(E37,'計算書（明細）'!$B$2:$X$482,21,TRUE),(VLOOKUP(E37,'計算書（明細）'!$B$2:$X$482,20,TRUE))*0.95)</f>
        <v>3732140.55</v>
      </c>
      <c r="F39" s="196">
        <f>IF((VLOOKUP(F37,'計算書（明細）'!$B$2:$X$482,20,TRUE))*0.95&gt;VLOOKUP(F37,'計算書（明細）'!$B$2:$X$482,21,TRUE),VLOOKUP(F37,'計算書（明細）'!$B$2:$X$482,21,TRUE),(VLOOKUP(F37,'計算書（明細）'!$B$2:$X$482,20,TRUE))*0.95)</f>
        <v>2239283.9499999997</v>
      </c>
      <c r="G39" s="196">
        <f>IF((VLOOKUP(G37,'計算書（明細）'!$B$2:$X$482,20,TRUE))*0.95&gt;VLOOKUP(G37,'計算書（明細）'!$B$2:$X$482,21,TRUE),VLOOKUP(G37,'計算書（明細）'!$B$2:$X$482,21,TRUE),(VLOOKUP(G37,'計算書（明細）'!$B$2:$X$482,20,TRUE))*0.95)</f>
        <v>0</v>
      </c>
      <c r="H39" s="196">
        <f>IF((VLOOKUP(H37,'計算書（明細）'!$B$2:$X$482,20,TRUE))*0.95&gt;VLOOKUP(H37,'計算書（明細）'!$B$2:$X$482,21,TRUE),VLOOKUP(H37,'計算書（明細）'!$B$2:$X$482,21,TRUE),(VLOOKUP(H37,'計算書（明細）'!$B$2:$X$482,20,TRUE))*0.95)</f>
        <v>0</v>
      </c>
      <c r="I39" s="196">
        <f>IF((VLOOKUP(I37,'計算書（明細）'!$B$2:$X$482,20,TRUE))*0.95&gt;VLOOKUP(I37,'計算書（明細）'!$B$2:$X$482,21,TRUE),VLOOKUP(I37,'計算書（明細）'!$B$2:$X$482,21,TRUE),(VLOOKUP(I37,'計算書（明細）'!$B$2:$X$482,20,TRUE))*0.95)</f>
        <v>0</v>
      </c>
      <c r="J39" s="196">
        <f>IF((VLOOKUP(J37,'計算書（明細）'!$B$2:$X$482,20,TRUE))*0.95&gt;VLOOKUP(J37,'計算書（明細）'!$B$2:$X$482,21,TRUE),VLOOKUP(J37,'計算書（明細）'!$B$2:$X$482,21,TRUE),(VLOOKUP(J37,'計算書（明細）'!$B$2:$X$482,20,TRUE))*0.95)</f>
        <v>0</v>
      </c>
      <c r="K39" s="196">
        <f>IF((VLOOKUP(K37,'計算書（明細）'!$B$2:$X$482,20,TRUE))*0.95&gt;VLOOKUP(K37,'計算書（明細）'!$B$2:$X$482,21,TRUE),VLOOKUP(K37,'計算書（明細）'!$B$2:$X$482,21,TRUE),(VLOOKUP(K37,'計算書（明細）'!$B$2:$X$482,20,TRUE))*0.95)</f>
        <v>0</v>
      </c>
      <c r="L39" s="196">
        <f>IF((VLOOKUP(L37,'計算書（明細）'!$B$2:$X$482,20,TRUE))*0.95&gt;VLOOKUP(L37,'計算書（明細）'!$B$2:$X$482,21,TRUE),VLOOKUP(L37,'計算書（明細）'!$B$2:$X$482,21,TRUE),(VLOOKUP(L37,'計算書（明細）'!$B$2:$X$482,20,TRUE))*0.95)</f>
        <v>0</v>
      </c>
      <c r="M39" s="196">
        <f>IF((VLOOKUP(M37,'計算書（明細）'!$B$2:$X$482,20,TRUE))*0.95&gt;VLOOKUP(M37,'計算書（明細）'!$B$2:$X$482,21,TRUE),VLOOKUP(M37,'計算書（明細）'!$B$2:$X$482,21,TRUE),(VLOOKUP(M37,'計算書（明細）'!$B$2:$X$482,20,TRUE))*0.95)</f>
        <v>0</v>
      </c>
      <c r="N39" s="196">
        <f>IF((VLOOKUP(N37,'計算書（明細）'!$B$2:$X$482,20,TRUE))*0.95&gt;VLOOKUP(N37,'計算書（明細）'!$B$2:$X$482,21,TRUE),VLOOKUP(N37,'計算書（明細）'!$B$2:$X$482,21,TRUE),(VLOOKUP(N37,'計算書（明細）'!$B$2:$X$482,20,TRUE))*0.95)</f>
        <v>0</v>
      </c>
      <c r="O39" s="196">
        <f>IF((VLOOKUP(O37,'計算書（明細）'!$B$2:$X$482,20,TRUE))*0.95&gt;VLOOKUP(O37,'計算書（明細）'!$B$2:$X$482,21,TRUE),VLOOKUP(O37,'計算書（明細）'!$B$2:$X$482,21,TRUE),(VLOOKUP(O37,'計算書（明細）'!$B$2:$X$482,20,TRUE))*0.95)</f>
        <v>0</v>
      </c>
      <c r="P39" s="196">
        <f>IF((VLOOKUP(P37,'計算書（明細）'!$B$2:$X$482,20,TRUE))*0.95&gt;VLOOKUP(P37,'計算書（明細）'!$B$2:$X$482,21,TRUE),VLOOKUP(P37,'計算書（明細）'!$B$2:$X$482,21,TRUE),(VLOOKUP(P37,'計算書（明細）'!$B$2:$X$482,20,TRUE))*0.95)</f>
        <v>0</v>
      </c>
      <c r="Q39" s="196">
        <f>IF((VLOOKUP(Q37,'計算書（明細）'!$B$2:$X$482,20,TRUE))*0.95&gt;VLOOKUP(Q37,'計算書（明細）'!$B$2:$X$482,21,TRUE),VLOOKUP(Q37,'計算書（明細）'!$B$2:$X$482,21,TRUE),(VLOOKUP(Q37,'計算書（明細）'!$B$2:$X$482,20,TRUE))*0.95)</f>
        <v>0</v>
      </c>
      <c r="R39" s="196">
        <f>IF((VLOOKUP(R37,'計算書（明細）'!$B$2:$X$482,20,TRUE))*0.95&gt;VLOOKUP(R37,'計算書（明細）'!$B$2:$X$482,21,TRUE),VLOOKUP(R37,'計算書（明細）'!$B$2:$X$482,21,TRUE),(VLOOKUP(R37,'計算書（明細）'!$B$2:$X$482,20,TRUE))*0.95)</f>
        <v>0</v>
      </c>
    </row>
    <row r="40" spans="1:18" ht="4.2" customHeight="1"/>
    <row r="41" spans="1:18" ht="20.399999999999999" customHeight="1">
      <c r="A41" s="255"/>
      <c r="B41" s="255"/>
      <c r="C41" s="188">
        <f>EDATE(R37,6)</f>
        <v>49553</v>
      </c>
      <c r="D41" s="188">
        <f t="shared" ref="D41:R41" si="3">EDATE(C41,6)</f>
        <v>49735</v>
      </c>
      <c r="E41" s="188">
        <f t="shared" si="3"/>
        <v>49919</v>
      </c>
      <c r="F41" s="188">
        <f t="shared" si="3"/>
        <v>50100</v>
      </c>
      <c r="G41" s="188">
        <f t="shared" si="3"/>
        <v>50284</v>
      </c>
      <c r="H41" s="188">
        <f t="shared" si="3"/>
        <v>50465</v>
      </c>
      <c r="I41" s="188">
        <f t="shared" si="3"/>
        <v>50649</v>
      </c>
      <c r="J41" s="188">
        <f t="shared" si="3"/>
        <v>50830</v>
      </c>
      <c r="K41" s="188">
        <f t="shared" si="3"/>
        <v>51014</v>
      </c>
      <c r="L41" s="188">
        <f t="shared" si="3"/>
        <v>51196</v>
      </c>
      <c r="M41" s="188">
        <f t="shared" si="3"/>
        <v>51380</v>
      </c>
      <c r="N41" s="188">
        <f t="shared" si="3"/>
        <v>51561</v>
      </c>
      <c r="O41" s="188">
        <f t="shared" si="3"/>
        <v>51745</v>
      </c>
      <c r="P41" s="188">
        <f t="shared" si="3"/>
        <v>51926</v>
      </c>
      <c r="Q41" s="188">
        <f t="shared" si="3"/>
        <v>52110</v>
      </c>
      <c r="R41" s="188">
        <f t="shared" si="3"/>
        <v>52291</v>
      </c>
    </row>
    <row r="42" spans="1:18" ht="20.399999999999999" customHeight="1">
      <c r="A42" s="251" t="s">
        <v>142</v>
      </c>
      <c r="B42" s="252"/>
      <c r="C42" s="174">
        <f>VLOOKUP(C$41,'計算書（明細）'!$B$3:$X$482,23,TRUE)</f>
        <v>0</v>
      </c>
      <c r="D42" s="174">
        <f>VLOOKUP(D$41,'計算書（明細）'!$B$3:$X$482,23,TRUE)</f>
        <v>0</v>
      </c>
      <c r="E42" s="174">
        <f>VLOOKUP(E$41,'計算書（明細）'!$B$3:$X$482,23,TRUE)</f>
        <v>0</v>
      </c>
      <c r="F42" s="174">
        <f>VLOOKUP(F$41,'計算書（明細）'!$B$3:$X$482,23,TRUE)</f>
        <v>0</v>
      </c>
      <c r="G42" s="174">
        <f>VLOOKUP(G$41,'計算書（明細）'!$B$3:$X$482,23,TRUE)</f>
        <v>0</v>
      </c>
      <c r="H42" s="174">
        <f>VLOOKUP(H$41,'計算書（明細）'!$B$3:$X$482,23,TRUE)</f>
        <v>0</v>
      </c>
      <c r="I42" s="174">
        <f>VLOOKUP(I$41,'計算書（明細）'!$B$3:$X$482,23,TRUE)</f>
        <v>0</v>
      </c>
      <c r="J42" s="174">
        <f>VLOOKUP(J$41,'計算書（明細）'!$B$3:$X$482,23,TRUE)</f>
        <v>0</v>
      </c>
      <c r="K42" s="174">
        <f>VLOOKUP(K$41,'計算書（明細）'!$B$3:$X$482,23,TRUE)</f>
        <v>0</v>
      </c>
      <c r="L42" s="174">
        <f>VLOOKUP(L$41,'計算書（明細）'!$B$3:$X$482,23,TRUE)</f>
        <v>0</v>
      </c>
      <c r="M42" s="174">
        <f>VLOOKUP(M$41,'計算書（明細）'!$B$3:$X$482,23,TRUE)</f>
        <v>0</v>
      </c>
      <c r="N42" s="174">
        <f>VLOOKUP(N$41,'計算書（明細）'!$B$3:$X$482,23,TRUE)</f>
        <v>0</v>
      </c>
      <c r="O42" s="174">
        <f>VLOOKUP(O$41,'計算書（明細）'!$B$3:$X$482,23,TRUE)</f>
        <v>0</v>
      </c>
      <c r="P42" s="174">
        <f>VLOOKUP(P$41,'計算書（明細）'!$B$3:$X$482,23,TRUE)</f>
        <v>0</v>
      </c>
      <c r="Q42" s="174">
        <f>VLOOKUP(Q$41,'計算書（明細）'!$B$3:$X$482,23,TRUE)</f>
        <v>0</v>
      </c>
      <c r="R42" s="174">
        <f>VLOOKUP(R$41,'計算書（明細）'!$B$3:$X$482,23,TRUE)</f>
        <v>0</v>
      </c>
    </row>
    <row r="43" spans="1:18" ht="31.95" customHeight="1">
      <c r="A43" s="253" t="s">
        <v>151</v>
      </c>
      <c r="B43" s="254"/>
      <c r="C43" s="196">
        <f>IF((VLOOKUP(C41,'計算書（明細）'!$B$2:$X$482,20,TRUE))*0.95&gt;VLOOKUP(C41,'計算書（明細）'!$B$2:$X$482,21,TRUE),VLOOKUP(C41,'計算書（明細）'!$B$2:$X$482,21,TRUE),(VLOOKUP(C41,'計算書（明細）'!$B$2:$X$482,20,TRUE))*0.95)</f>
        <v>0</v>
      </c>
      <c r="D43" s="196">
        <f>IF((VLOOKUP(D41,'計算書（明細）'!$B$2:$X$482,20,TRUE))*0.95&gt;VLOOKUP(D41,'計算書（明細）'!$B$2:$X$482,21,TRUE),VLOOKUP(D41,'計算書（明細）'!$B$2:$X$482,21,TRUE),(VLOOKUP(D41,'計算書（明細）'!$B$2:$X$482,20,TRUE))*0.95)</f>
        <v>0</v>
      </c>
      <c r="E43" s="196">
        <f>IF((VLOOKUP(E41,'計算書（明細）'!$B$2:$X$482,20,TRUE))*0.95&gt;VLOOKUP(E41,'計算書（明細）'!$B$2:$X$482,21,TRUE),VLOOKUP(E41,'計算書（明細）'!$B$2:$X$482,21,TRUE),(VLOOKUP(E41,'計算書（明細）'!$B$2:$X$482,20,TRUE))*0.95)</f>
        <v>0</v>
      </c>
      <c r="F43" s="196">
        <f>IF((VLOOKUP(F41,'計算書（明細）'!$B$2:$X$482,20,TRUE))*0.95&gt;VLOOKUP(F41,'計算書（明細）'!$B$2:$X$482,21,TRUE),VLOOKUP(F41,'計算書（明細）'!$B$2:$X$482,21,TRUE),(VLOOKUP(F41,'計算書（明細）'!$B$2:$X$482,20,TRUE))*0.95)</f>
        <v>0</v>
      </c>
      <c r="G43" s="196">
        <f>IF((VLOOKUP(G41,'計算書（明細）'!$B$2:$X$482,20,TRUE))*0.95&gt;VLOOKUP(G41,'計算書（明細）'!$B$2:$X$482,21,TRUE),VLOOKUP(G41,'計算書（明細）'!$B$2:$X$482,21,TRUE),(VLOOKUP(G41,'計算書（明細）'!$B$2:$X$482,20,TRUE))*0.95)</f>
        <v>0</v>
      </c>
      <c r="H43" s="196">
        <f>IF((VLOOKUP(H41,'計算書（明細）'!$B$2:$X$482,20,TRUE))*0.95&gt;VLOOKUP(H41,'計算書（明細）'!$B$2:$X$482,21,TRUE),VLOOKUP(H41,'計算書（明細）'!$B$2:$X$482,21,TRUE),(VLOOKUP(H41,'計算書（明細）'!$B$2:$X$482,20,TRUE))*0.95)</f>
        <v>0</v>
      </c>
      <c r="I43" s="196">
        <f>IF((VLOOKUP(I41,'計算書（明細）'!$B$2:$X$482,20,TRUE))*0.95&gt;VLOOKUP(I41,'計算書（明細）'!$B$2:$X$482,21,TRUE),VLOOKUP(I41,'計算書（明細）'!$B$2:$X$482,21,TRUE),(VLOOKUP(I41,'計算書（明細）'!$B$2:$X$482,20,TRUE))*0.95)</f>
        <v>0</v>
      </c>
      <c r="J43" s="196">
        <f>IF((VLOOKUP(J41,'計算書（明細）'!$B$2:$X$482,20,TRUE))*0.95&gt;VLOOKUP(J41,'計算書（明細）'!$B$2:$X$482,21,TRUE),VLOOKUP(J41,'計算書（明細）'!$B$2:$X$482,21,TRUE),(VLOOKUP(J41,'計算書（明細）'!$B$2:$X$482,20,TRUE))*0.95)</f>
        <v>0</v>
      </c>
      <c r="K43" s="196">
        <f>IF((VLOOKUP(K41,'計算書（明細）'!$B$2:$X$482,20,TRUE))*0.95&gt;VLOOKUP(K41,'計算書（明細）'!$B$2:$X$482,21,TRUE),VLOOKUP(K41,'計算書（明細）'!$B$2:$X$482,21,TRUE),(VLOOKUP(K41,'計算書（明細）'!$B$2:$X$482,20,TRUE))*0.95)</f>
        <v>0</v>
      </c>
      <c r="L43" s="196">
        <f>IF((VLOOKUP(L41,'計算書（明細）'!$B$2:$X$482,20,TRUE))*0.95&gt;VLOOKUP(L41,'計算書（明細）'!$B$2:$X$482,21,TRUE),VLOOKUP(L41,'計算書（明細）'!$B$2:$X$482,21,TRUE),(VLOOKUP(L41,'計算書（明細）'!$B$2:$X$482,20,TRUE))*0.95)</f>
        <v>0</v>
      </c>
      <c r="M43" s="196">
        <f>IF((VLOOKUP(M41,'計算書（明細）'!$B$2:$X$482,20,TRUE))*0.95&gt;VLOOKUP(M41,'計算書（明細）'!$B$2:$X$482,21,TRUE),VLOOKUP(M41,'計算書（明細）'!$B$2:$X$482,21,TRUE),(VLOOKUP(M41,'計算書（明細）'!$B$2:$X$482,20,TRUE))*0.95)</f>
        <v>0</v>
      </c>
      <c r="N43" s="196">
        <f>IF((VLOOKUP(N41,'計算書（明細）'!$B$2:$X$482,20,TRUE))*0.95&gt;VLOOKUP(N41,'計算書（明細）'!$B$2:$X$482,21,TRUE),VLOOKUP(N41,'計算書（明細）'!$B$2:$X$482,21,TRUE),(VLOOKUP(N41,'計算書（明細）'!$B$2:$X$482,20,TRUE))*0.95)</f>
        <v>0</v>
      </c>
      <c r="O43" s="196">
        <f>IF((VLOOKUP(O41,'計算書（明細）'!$B$2:$X$482,20,TRUE))*0.95&gt;VLOOKUP(O41,'計算書（明細）'!$B$2:$X$482,21,TRUE),VLOOKUP(O41,'計算書（明細）'!$B$2:$X$482,21,TRUE),(VLOOKUP(O41,'計算書（明細）'!$B$2:$X$482,20,TRUE))*0.95)</f>
        <v>0</v>
      </c>
      <c r="P43" s="196">
        <f>IF((VLOOKUP(P41,'計算書（明細）'!$B$2:$X$482,20,TRUE))*0.95&gt;VLOOKUP(P41,'計算書（明細）'!$B$2:$X$482,21,TRUE),VLOOKUP(P41,'計算書（明細）'!$B$2:$X$482,21,TRUE),(VLOOKUP(P41,'計算書（明細）'!$B$2:$X$482,20,TRUE))*0.95)</f>
        <v>0</v>
      </c>
      <c r="Q43" s="196">
        <f>IF((VLOOKUP(Q41,'計算書（明細）'!$B$2:$X$482,20,TRUE))*0.95&gt;VLOOKUP(Q41,'計算書（明細）'!$B$2:$X$482,21,TRUE),VLOOKUP(Q41,'計算書（明細）'!$B$2:$X$482,21,TRUE),(VLOOKUP(Q41,'計算書（明細）'!$B$2:$X$482,20,TRUE))*0.95)</f>
        <v>0</v>
      </c>
      <c r="R43" s="196">
        <f>IF((VLOOKUP(R41,'計算書（明細）'!$B$2:$X$482,20,TRUE))*0.95&gt;VLOOKUP(R41,'計算書（明細）'!$B$2:$X$482,21,TRUE),VLOOKUP(R41,'計算書（明細）'!$B$2:$X$482,21,TRUE),(VLOOKUP(R41,'計算書（明細）'!$B$2:$X$482,20,TRUE))*0.95)</f>
        <v>0</v>
      </c>
    </row>
    <row r="44" spans="1:18" ht="4.2" customHeight="1"/>
    <row r="45" spans="1:18" ht="20.399999999999999" customHeight="1">
      <c r="A45" s="255"/>
      <c r="B45" s="255"/>
      <c r="C45" s="188">
        <f>EDATE(R41,6)</f>
        <v>52475</v>
      </c>
      <c r="D45" s="188">
        <f t="shared" ref="D45:R45" si="4">EDATE(C45,6)</f>
        <v>52657</v>
      </c>
      <c r="E45" s="188">
        <f t="shared" si="4"/>
        <v>52841</v>
      </c>
      <c r="F45" s="188">
        <f t="shared" si="4"/>
        <v>53022</v>
      </c>
      <c r="G45" s="188">
        <f t="shared" si="4"/>
        <v>53206</v>
      </c>
      <c r="H45" s="188">
        <f t="shared" si="4"/>
        <v>53387</v>
      </c>
      <c r="I45" s="188">
        <f t="shared" si="4"/>
        <v>53571</v>
      </c>
      <c r="J45" s="188">
        <f t="shared" si="4"/>
        <v>53752</v>
      </c>
      <c r="K45" s="188">
        <f t="shared" si="4"/>
        <v>53936</v>
      </c>
      <c r="L45" s="188">
        <f t="shared" si="4"/>
        <v>54118</v>
      </c>
      <c r="M45" s="188">
        <f t="shared" si="4"/>
        <v>54302</v>
      </c>
      <c r="N45" s="188">
        <f t="shared" si="4"/>
        <v>54483</v>
      </c>
      <c r="O45" s="188">
        <f t="shared" si="4"/>
        <v>54667</v>
      </c>
      <c r="P45" s="188">
        <f t="shared" si="4"/>
        <v>54848</v>
      </c>
      <c r="Q45" s="188">
        <f t="shared" si="4"/>
        <v>55032</v>
      </c>
      <c r="R45" s="188">
        <f t="shared" si="4"/>
        <v>55213</v>
      </c>
    </row>
    <row r="46" spans="1:18" ht="20.399999999999999" customHeight="1">
      <c r="A46" s="251" t="s">
        <v>142</v>
      </c>
      <c r="B46" s="252"/>
      <c r="C46" s="174">
        <f>VLOOKUP(C$45,'計算書（明細）'!$B$3:$X$482,23,TRUE)</f>
        <v>0</v>
      </c>
      <c r="D46" s="174">
        <f>VLOOKUP(D$45,'計算書（明細）'!$B$3:$X$482,23,TRUE)</f>
        <v>0</v>
      </c>
      <c r="E46" s="174">
        <f>VLOOKUP(E$45,'計算書（明細）'!$B$3:$X$482,23,TRUE)</f>
        <v>0</v>
      </c>
      <c r="F46" s="174">
        <f>VLOOKUP(F$45,'計算書（明細）'!$B$3:$X$482,23,TRUE)</f>
        <v>0</v>
      </c>
      <c r="G46" s="174">
        <f>VLOOKUP(G$45,'計算書（明細）'!$B$3:$X$482,23,TRUE)</f>
        <v>0</v>
      </c>
      <c r="H46" s="174">
        <f>VLOOKUP(H$45,'計算書（明細）'!$B$3:$X$482,23,TRUE)</f>
        <v>0</v>
      </c>
      <c r="I46" s="174">
        <f>VLOOKUP(I$45,'計算書（明細）'!$B$3:$X$482,23,TRUE)</f>
        <v>0</v>
      </c>
      <c r="J46" s="174">
        <f>VLOOKUP(J$45,'計算書（明細）'!$B$3:$X$482,23,TRUE)</f>
        <v>0</v>
      </c>
      <c r="K46" s="174">
        <f>VLOOKUP(K$45,'計算書（明細）'!$B$3:$X$482,23,TRUE)</f>
        <v>0</v>
      </c>
      <c r="L46" s="174">
        <f>VLOOKUP(L$45,'計算書（明細）'!$B$3:$X$482,23,TRUE)</f>
        <v>0</v>
      </c>
      <c r="M46" s="174">
        <f>VLOOKUP(M$45,'計算書（明細）'!$B$3:$X$482,23,TRUE)</f>
        <v>0</v>
      </c>
      <c r="N46" s="174">
        <f>VLOOKUP(N$45,'計算書（明細）'!$B$3:$X$482,23,TRUE)</f>
        <v>0</v>
      </c>
      <c r="O46" s="174">
        <f>VLOOKUP(O$45,'計算書（明細）'!$B$3:$X$482,23,TRUE)</f>
        <v>0</v>
      </c>
      <c r="P46" s="174">
        <f>VLOOKUP(P$45,'計算書（明細）'!$B$3:$X$482,23,TRUE)</f>
        <v>0</v>
      </c>
      <c r="Q46" s="174">
        <f>VLOOKUP(Q$45,'計算書（明細）'!$B$3:$X$482,23,TRUE)</f>
        <v>0</v>
      </c>
      <c r="R46" s="174">
        <f>VLOOKUP(R$45,'計算書（明細）'!$B$3:$X$482,23,TRUE)</f>
        <v>0</v>
      </c>
    </row>
    <row r="47" spans="1:18" ht="31.95" customHeight="1">
      <c r="A47" s="253" t="s">
        <v>151</v>
      </c>
      <c r="B47" s="254"/>
      <c r="C47" s="196">
        <f>IF((VLOOKUP(C45,'計算書（明細）'!$B$2:$X$482,20,TRUE))*0.95&gt;VLOOKUP(C45,'計算書（明細）'!$B$2:$X$482,21,TRUE),VLOOKUP(C45,'計算書（明細）'!$B$2:$X$482,21,TRUE),(VLOOKUP(C45,'計算書（明細）'!$B$2:$X$482,20,TRUE))*0.95)</f>
        <v>0</v>
      </c>
      <c r="D47" s="196">
        <f>IF((VLOOKUP(D45,'計算書（明細）'!$B$2:$X$482,20,TRUE))*0.95&gt;VLOOKUP(D45,'計算書（明細）'!$B$2:$X$482,21,TRUE),VLOOKUP(D45,'計算書（明細）'!$B$2:$X$482,21,TRUE),(VLOOKUP(D45,'計算書（明細）'!$B$2:$X$482,20,TRUE))*0.95)</f>
        <v>0</v>
      </c>
      <c r="E47" s="196">
        <f>IF((VLOOKUP(E45,'計算書（明細）'!$B$2:$X$482,20,TRUE))*0.95&gt;VLOOKUP(E45,'計算書（明細）'!$B$2:$X$482,21,TRUE),VLOOKUP(E45,'計算書（明細）'!$B$2:$X$482,21,TRUE),(VLOOKUP(E45,'計算書（明細）'!$B$2:$X$482,20,TRUE))*0.95)</f>
        <v>0</v>
      </c>
      <c r="F47" s="196">
        <f>IF((VLOOKUP(F45,'計算書（明細）'!$B$2:$X$482,20,TRUE))*0.95&gt;VLOOKUP(F45,'計算書（明細）'!$B$2:$X$482,21,TRUE),VLOOKUP(F45,'計算書（明細）'!$B$2:$X$482,21,TRUE),(VLOOKUP(F45,'計算書（明細）'!$B$2:$X$482,20,TRUE))*0.95)</f>
        <v>0</v>
      </c>
      <c r="G47" s="196">
        <f>IF((VLOOKUP(G45,'計算書（明細）'!$B$2:$X$482,20,TRUE))*0.95&gt;VLOOKUP(G45,'計算書（明細）'!$B$2:$X$482,21,TRUE),VLOOKUP(G45,'計算書（明細）'!$B$2:$X$482,21,TRUE),(VLOOKUP(G45,'計算書（明細）'!$B$2:$X$482,20,TRUE))*0.95)</f>
        <v>0</v>
      </c>
      <c r="H47" s="196">
        <f>IF((VLOOKUP(H45,'計算書（明細）'!$B$2:$X$482,20,TRUE))*0.95&gt;VLOOKUP(H45,'計算書（明細）'!$B$2:$X$482,21,TRUE),VLOOKUP(H45,'計算書（明細）'!$B$2:$X$482,21,TRUE),(VLOOKUP(H45,'計算書（明細）'!$B$2:$X$482,20,TRUE))*0.95)</f>
        <v>0</v>
      </c>
      <c r="I47" s="196">
        <f>IF((VLOOKUP(I45,'計算書（明細）'!$B$2:$X$482,20,TRUE))*0.95&gt;VLOOKUP(I45,'計算書（明細）'!$B$2:$X$482,21,TRUE),VLOOKUP(I45,'計算書（明細）'!$B$2:$X$482,21,TRUE),(VLOOKUP(I45,'計算書（明細）'!$B$2:$X$482,20,TRUE))*0.95)</f>
        <v>0</v>
      </c>
      <c r="J47" s="196">
        <f>IF((VLOOKUP(J45,'計算書（明細）'!$B$2:$X$482,20,TRUE))*0.95&gt;VLOOKUP(J45,'計算書（明細）'!$B$2:$X$482,21,TRUE),VLOOKUP(J45,'計算書（明細）'!$B$2:$X$482,21,TRUE),(VLOOKUP(J45,'計算書（明細）'!$B$2:$X$482,20,TRUE))*0.95)</f>
        <v>0</v>
      </c>
      <c r="K47" s="196">
        <f>IF((VLOOKUP(K45,'計算書（明細）'!$B$2:$X$482,20,TRUE))*0.95&gt;VLOOKUP(K45,'計算書（明細）'!$B$2:$X$482,21,TRUE),VLOOKUP(K45,'計算書（明細）'!$B$2:$X$482,21,TRUE),(VLOOKUP(K45,'計算書（明細）'!$B$2:$X$482,20,TRUE))*0.95)</f>
        <v>0</v>
      </c>
      <c r="L47" s="196">
        <f>IF((VLOOKUP(L45,'計算書（明細）'!$B$2:$X$482,20,TRUE))*0.95&gt;VLOOKUP(L45,'計算書（明細）'!$B$2:$X$482,21,TRUE),VLOOKUP(L45,'計算書（明細）'!$B$2:$X$482,21,TRUE),(VLOOKUP(L45,'計算書（明細）'!$B$2:$X$482,20,TRUE))*0.95)</f>
        <v>0</v>
      </c>
      <c r="M47" s="196">
        <f>IF((VLOOKUP(M45,'計算書（明細）'!$B$2:$X$482,20,TRUE))*0.95&gt;VLOOKUP(M45,'計算書（明細）'!$B$2:$X$482,21,TRUE),VLOOKUP(M45,'計算書（明細）'!$B$2:$X$482,21,TRUE),(VLOOKUP(M45,'計算書（明細）'!$B$2:$X$482,20,TRUE))*0.95)</f>
        <v>0</v>
      </c>
      <c r="N47" s="196">
        <f>IF((VLOOKUP(N45,'計算書（明細）'!$B$2:$X$482,20,TRUE))*0.95&gt;VLOOKUP(N45,'計算書（明細）'!$B$2:$X$482,21,TRUE),VLOOKUP(N45,'計算書（明細）'!$B$2:$X$482,21,TRUE),(VLOOKUP(N45,'計算書（明細）'!$B$2:$X$482,20,TRUE))*0.95)</f>
        <v>0</v>
      </c>
      <c r="O47" s="196">
        <f>IF((VLOOKUP(O45,'計算書（明細）'!$B$2:$X$482,20,TRUE))*0.95&gt;VLOOKUP(O45,'計算書（明細）'!$B$2:$X$482,21,TRUE),VLOOKUP(O45,'計算書（明細）'!$B$2:$X$482,21,TRUE),(VLOOKUP(O45,'計算書（明細）'!$B$2:$X$482,20,TRUE))*0.95)</f>
        <v>0</v>
      </c>
      <c r="P47" s="196">
        <f>IF((VLOOKUP(P45,'計算書（明細）'!$B$2:$X$482,20,TRUE))*0.95&gt;VLOOKUP(P45,'計算書（明細）'!$B$2:$X$482,21,TRUE),VLOOKUP(P45,'計算書（明細）'!$B$2:$X$482,21,TRUE),(VLOOKUP(P45,'計算書（明細）'!$B$2:$X$482,20,TRUE))*0.95)</f>
        <v>0</v>
      </c>
      <c r="Q47" s="196">
        <f>IF((VLOOKUP(Q45,'計算書（明細）'!$B$2:$X$482,20,TRUE))*0.95&gt;VLOOKUP(Q45,'計算書（明細）'!$B$2:$X$482,21,TRUE),VLOOKUP(Q45,'計算書（明細）'!$B$2:$X$482,21,TRUE),(VLOOKUP(Q45,'計算書（明細）'!$B$2:$X$482,20,TRUE))*0.95)</f>
        <v>0</v>
      </c>
      <c r="R47" s="196">
        <f>IF((VLOOKUP(R45,'計算書（明細）'!$B$2:$X$482,20,TRUE))*0.95&gt;VLOOKUP(R45,'計算書（明細）'!$B$2:$X$482,21,TRUE),VLOOKUP(R45,'計算書（明細）'!$B$2:$X$482,21,TRUE),(VLOOKUP(R45,'計算書（明細）'!$B$2:$X$482,20,TRUE))*0.95)</f>
        <v>0</v>
      </c>
    </row>
    <row r="48" spans="1:18" ht="9" customHeight="1"/>
    <row r="50" spans="8:8">
      <c r="H50" s="199"/>
    </row>
  </sheetData>
  <sheetProtection sheet="1" formatCells="0"/>
  <mergeCells count="28">
    <mergeCell ref="A47:B47"/>
    <mergeCell ref="A46:B46"/>
    <mergeCell ref="I2:Q2"/>
    <mergeCell ref="P3:Q3"/>
    <mergeCell ref="A45:B45"/>
    <mergeCell ref="A30:B30"/>
    <mergeCell ref="A34:B34"/>
    <mergeCell ref="A18:R18"/>
    <mergeCell ref="A19:R19"/>
    <mergeCell ref="A33:B33"/>
    <mergeCell ref="B9:D9"/>
    <mergeCell ref="B10:D10"/>
    <mergeCell ref="B13:D13"/>
    <mergeCell ref="B14:D14"/>
    <mergeCell ref="B15:D15"/>
    <mergeCell ref="A29:B29"/>
    <mergeCell ref="A42:B42"/>
    <mergeCell ref="A43:B43"/>
    <mergeCell ref="A13:A14"/>
    <mergeCell ref="B16:D16"/>
    <mergeCell ref="A37:B37"/>
    <mergeCell ref="A31:B31"/>
    <mergeCell ref="A35:B35"/>
    <mergeCell ref="A12:D12"/>
    <mergeCell ref="A11:D11"/>
    <mergeCell ref="A38:B38"/>
    <mergeCell ref="A39:B39"/>
    <mergeCell ref="A41:B41"/>
  </mergeCells>
  <phoneticPr fontId="17"/>
  <conditionalFormatting sqref="C29:R30">
    <cfRule type="expression" dxfId="223" priority="29" stopIfTrue="1">
      <formula>C$29&lt;$A$15</formula>
    </cfRule>
  </conditionalFormatting>
  <conditionalFormatting sqref="C45:R46">
    <cfRule type="expression" dxfId="222" priority="32" stopIfTrue="1">
      <formula>C$45&lt;$A$15</formula>
    </cfRule>
  </conditionalFormatting>
  <conditionalFormatting sqref="C33:R34">
    <cfRule type="expression" dxfId="221" priority="3" stopIfTrue="1">
      <formula>C$33&lt;$A$15</formula>
    </cfRule>
  </conditionalFormatting>
  <conditionalFormatting sqref="C37:R38">
    <cfRule type="expression" dxfId="220" priority="2" stopIfTrue="1">
      <formula>C$37&lt;$A$15</formula>
    </cfRule>
  </conditionalFormatting>
  <conditionalFormatting sqref="C41:R42">
    <cfRule type="expression" dxfId="219" priority="1" stopIfTrue="1">
      <formula>C$41&lt;$A$15</formula>
    </cfRule>
  </conditionalFormatting>
  <dataValidations count="4">
    <dataValidation type="date" operator="greaterThanOrEqual" allowBlank="1" showInputMessage="1" showErrorMessage="1" sqref="E15 G15 I15 K15 M15 O15 Q15" xr:uid="{00000000-0002-0000-0000-000000000000}">
      <formula1>36526</formula1>
    </dataValidation>
    <dataValidation type="whole" allowBlank="1" showInputMessage="1" showErrorMessage="1" sqref="Q14 E14 G14 I14 K14 M14 O14" xr:uid="{00000000-0002-0000-0000-000001000000}">
      <formula1>0</formula1>
      <formula2>9</formula2>
    </dataValidation>
    <dataValidation type="whole" errorStyle="warning" operator="greaterThanOrEqual" allowBlank="1" showInputMessage="1" showErrorMessage="1" error="入力し直し" sqref="I12:I13 G12:G13 E12:E13 O12:O13 M12:M13 K12:K13 E9:E10 G9:G10 I9:I10 K9:K10 M9:M10 O9:O10 Q9:Q10 Q12:Q13" xr:uid="{00000000-0002-0000-0000-000002000000}">
      <formula1>100000</formula1>
    </dataValidation>
    <dataValidation type="list" operator="equal" showInputMessage="1" showErrorMessage="1" sqref="Q11 G11 I11 K11 M11 O11 E11" xr:uid="{A34016DB-D894-4EBB-BA72-C3DDADABA21A}">
      <formula1>"0,0.1"</formula1>
    </dataValidation>
  </dataValidations>
  <printOptions horizontalCentered="1"/>
  <pageMargins left="0.23622047244094491" right="0.23622047244094491" top="0.62992125984251968" bottom="0.23622047244094491" header="0.31496062992125984" footer="0.19685039370078741"/>
  <pageSetup paperSize="9" scale="64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C48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8" sqref="I18"/>
    </sheetView>
  </sheetViews>
  <sheetFormatPr defaultRowHeight="13.2"/>
  <cols>
    <col min="2" max="3" width="10.44140625" customWidth="1"/>
    <col min="4" max="4" width="3.6640625" style="206" customWidth="1"/>
    <col min="5" max="5" width="10.33203125" style="206" customWidth="1"/>
    <col min="6" max="6" width="3.6640625" style="206" customWidth="1"/>
    <col min="7" max="7" width="10.33203125" style="206" customWidth="1"/>
    <col min="8" max="8" width="3.6640625" style="206" customWidth="1"/>
    <col min="9" max="9" width="10.33203125" style="206" customWidth="1"/>
    <col min="10" max="10" width="3.6640625" style="206" customWidth="1"/>
    <col min="11" max="11" width="10.33203125" style="206" customWidth="1"/>
    <col min="12" max="12" width="3.6640625" style="206" customWidth="1"/>
    <col min="13" max="13" width="10.33203125" style="206" customWidth="1"/>
    <col min="14" max="14" width="3.6640625" style="206" customWidth="1"/>
    <col min="15" max="15" width="10.33203125" style="206" customWidth="1"/>
    <col min="16" max="16" width="3.6640625" style="206" customWidth="1"/>
    <col min="17" max="17" width="10.33203125" style="206" customWidth="1"/>
    <col min="18" max="18" width="1.44140625" customWidth="1"/>
    <col min="20" max="20" width="10.77734375" customWidth="1"/>
    <col min="21" max="21" width="14.44140625" bestFit="1" customWidth="1"/>
    <col min="22" max="22" width="10.44140625" bestFit="1" customWidth="1"/>
    <col min="23" max="23" width="9.109375" style="246" bestFit="1" customWidth="1"/>
    <col min="24" max="24" width="12.44140625" customWidth="1"/>
    <col min="25" max="25" width="1.6640625" customWidth="1"/>
    <col min="26" max="26" width="10.77734375" style="200" customWidth="1"/>
    <col min="27" max="27" width="10.109375" style="200" customWidth="1"/>
    <col min="28" max="28" width="10.44140625" style="200" bestFit="1" customWidth="1"/>
    <col min="29" max="29" width="10.109375" style="200" customWidth="1"/>
  </cols>
  <sheetData>
    <row r="2" spans="2:29" ht="28.8">
      <c r="B2" s="166" t="s">
        <v>123</v>
      </c>
      <c r="C2" s="166" t="s">
        <v>124</v>
      </c>
      <c r="D2" s="263" t="s">
        <v>135</v>
      </c>
      <c r="E2" s="264"/>
      <c r="F2" s="263" t="s">
        <v>136</v>
      </c>
      <c r="G2" s="264"/>
      <c r="H2" s="263" t="s">
        <v>137</v>
      </c>
      <c r="I2" s="264"/>
      <c r="J2" s="263" t="s">
        <v>138</v>
      </c>
      <c r="K2" s="264"/>
      <c r="L2" s="263" t="s">
        <v>139</v>
      </c>
      <c r="M2" s="264"/>
      <c r="N2" s="263" t="s">
        <v>140</v>
      </c>
      <c r="O2" s="264"/>
      <c r="P2" s="263" t="s">
        <v>146</v>
      </c>
      <c r="Q2" s="264"/>
      <c r="R2" s="215"/>
      <c r="S2" s="216" t="s">
        <v>157</v>
      </c>
      <c r="T2" s="207" t="s">
        <v>159</v>
      </c>
      <c r="U2" s="208" t="s">
        <v>155</v>
      </c>
      <c r="V2" s="195" t="s">
        <v>158</v>
      </c>
      <c r="W2" s="244" t="s">
        <v>161</v>
      </c>
      <c r="X2" s="195" t="s">
        <v>160</v>
      </c>
    </row>
    <row r="3" spans="2:29">
      <c r="B3" s="198">
        <v>40634</v>
      </c>
      <c r="C3" s="198">
        <f t="shared" ref="C3:C66" si="0">EDATE(B3,-1)</f>
        <v>40603</v>
      </c>
      <c r="D3" s="209">
        <f>IF('信用保険料計算書（上限2000万）'!M5="",0,IF(B3&lt;'信用保険料計算書（上限2000万）'!$E$15,0,IF(B3&gt;'信用保険料計算書（上限2000万）'!$E$16,0,1)))</f>
        <v>0</v>
      </c>
      <c r="E3" s="209">
        <f>IF(D3=1,HLOOKUP(C3,'計算書（第1回）'!$C$123:$U$124,2,TRUE),0)</f>
        <v>0</v>
      </c>
      <c r="F3" s="209">
        <f>IF('信用保険料計算書（上限2000万）'!$G$15="",0,IF($B3&lt;'信用保険料計算書（上限2000万）'!$G$15,0,IF($B3&gt;'信用保険料計算書（上限2000万）'!$G$16,0,1)))</f>
        <v>0</v>
      </c>
      <c r="G3" s="209">
        <f>IF(F3=1,HLOOKUP(C3,'計算書（第2回）'!$C$123:$U$124,2,TRUE),0)</f>
        <v>0</v>
      </c>
      <c r="H3" s="209">
        <f>IF('信用保険料計算書（上限2000万）'!$I$15="",0,IF($B3&lt;'信用保険料計算書（上限2000万）'!$I$15,0,IF($B3&gt;'信用保険料計算書（上限2000万）'!$I$16,0,1)))</f>
        <v>0</v>
      </c>
      <c r="I3" s="209">
        <f>IF(H3=1,HLOOKUP(C3,'計算書（第3回）'!$C$123:$U$124,2,TRUE),0)</f>
        <v>0</v>
      </c>
      <c r="J3" s="209">
        <f>IF('信用保険料計算書（上限2000万）'!$K$15="",0,IF($B3&lt;'信用保険料計算書（上限2000万）'!$K$15,0,IF($B3&gt;'信用保険料計算書（上限2000万）'!$K$16,0,1)))</f>
        <v>0</v>
      </c>
      <c r="K3" s="209">
        <f>IF(J3=1,HLOOKUP(C3,'計算書（第4回）'!$C$123:$U$124,2,TRUE),0)</f>
        <v>0</v>
      </c>
      <c r="L3" s="209">
        <f>IF('信用保険料計算書（上限2000万）'!$M$15="",0,IF($B3&lt;'信用保険料計算書（上限2000万）'!$M$15,0,IF($B3&gt;'信用保険料計算書（上限2000万）'!$M$16,0,1)))</f>
        <v>0</v>
      </c>
      <c r="M3" s="209">
        <f>IF(L3=1,HLOOKUP(C3,'計算書（第5回）'!$C$123:$U$124,2,TRUE),0)</f>
        <v>0</v>
      </c>
      <c r="N3" s="209">
        <f>IF('信用保険料計算書（上限2000万）'!$O$15="",0,IF($B3&lt;'信用保険料計算書（上限2000万）'!$O$15,0,IF($B3&gt;'信用保険料計算書（上限2000万）'!$O$16,0,1)))</f>
        <v>0</v>
      </c>
      <c r="O3" s="209">
        <f>IF(N3=1,HLOOKUP(C3,'計算書（第6回）'!$C$123:$U$124,2,TRUE),0)</f>
        <v>0</v>
      </c>
      <c r="P3" s="209">
        <f>IF('信用保険料計算書（上限2000万）'!$Q$15="",0,IF($B3&lt;'信用保険料計算書（上限2000万）'!$Q$15,0,IF($B3&gt;'信用保険料計算書（上限2000万）'!$Q$16,0,1)))</f>
        <v>0</v>
      </c>
      <c r="Q3" s="209">
        <f>IF(P3=1,HLOOKUP(C3,'計算書（第7回）'!$C$123:$U$124,2,TRUE),0)</f>
        <v>0</v>
      </c>
      <c r="R3" s="210"/>
      <c r="S3" s="211">
        <f>COUNTIF($AB$13:$AB$19,"&lt;=2011/4/1")</f>
        <v>0</v>
      </c>
      <c r="T3" s="178" t="e">
        <f>IF(S3="","",SMALL($AB$13:$AB$19,$S3))</f>
        <v>#NUM!</v>
      </c>
      <c r="U3" s="181">
        <f t="shared" ref="U3:U66" si="1">E3+G3+I3+K3+M3+O3+Q3</f>
        <v>0</v>
      </c>
      <c r="V3" s="182">
        <f t="shared" ref="V3:V66" si="2">IF(U3=0,0,IF(U3&gt;VLOOKUP(T3,$AA$5:$AB$8,2,TRUE),VLOOKUP(T3,$AA$5:$AB$8,2,TRUE),U3))</f>
        <v>0</v>
      </c>
      <c r="W3" s="245">
        <f t="shared" ref="W3:W66" si="3">IF(V3=0,0,ROUNDDOWN(V3*0.005/12,2))</f>
        <v>0</v>
      </c>
      <c r="X3" s="182"/>
      <c r="Z3" s="265" t="s">
        <v>70</v>
      </c>
      <c r="AA3" s="265"/>
      <c r="AB3" s="265"/>
      <c r="AC3" s="265"/>
    </row>
    <row r="4" spans="2:29" ht="21.6">
      <c r="B4" s="214">
        <f t="shared" ref="B4:B67" si="4">EDATE(B3,1)</f>
        <v>40664</v>
      </c>
      <c r="C4" s="198">
        <f t="shared" si="0"/>
        <v>40634</v>
      </c>
      <c r="D4" s="209">
        <f>IF(B4&lt;'信用保険料計算書（上限2000万）'!$E$15,0,IF(B4&gt;'信用保険料計算書（上限2000万）'!$E$16,0,1))</f>
        <v>0</v>
      </c>
      <c r="E4" s="209">
        <f>IF(D4=1,HLOOKUP(C4,'計算書（第1回）'!$C$123:$U$124,2,TRUE),0)</f>
        <v>0</v>
      </c>
      <c r="F4" s="209">
        <f>IF('信用保険料計算書（上限2000万）'!$G$15="",0,IF($B4&lt;'信用保険料計算書（上限2000万）'!$G$15,0,IF($B4&gt;'信用保険料計算書（上限2000万）'!$G$16,0,1)))</f>
        <v>0</v>
      </c>
      <c r="G4" s="209">
        <f>IF(F4=1,HLOOKUP(C4,'計算書（第2回）'!$C$123:$U$124,2,TRUE),0)</f>
        <v>0</v>
      </c>
      <c r="H4" s="209">
        <f>IF('信用保険料計算書（上限2000万）'!$I$15="",0,IF($B4&lt;'信用保険料計算書（上限2000万）'!$I$15,0,IF($B4&gt;'信用保険料計算書（上限2000万）'!$I$16,0,1)))</f>
        <v>0</v>
      </c>
      <c r="I4" s="209">
        <f>IF(H4=1,HLOOKUP(C4,'計算書（第3回）'!$C$123:$U$124,2,TRUE),0)</f>
        <v>0</v>
      </c>
      <c r="J4" s="209">
        <f>IF('信用保険料計算書（上限2000万）'!$K$15="",0,IF($B4&lt;'信用保険料計算書（上限2000万）'!$K$15,0,IF($B4&gt;'信用保険料計算書（上限2000万）'!$K$16,0,1)))</f>
        <v>0</v>
      </c>
      <c r="K4" s="209">
        <f>IF(J4=1,HLOOKUP(C4,'計算書（第4回）'!$C$123:$U$124,2,TRUE),0)</f>
        <v>0</v>
      </c>
      <c r="L4" s="209">
        <f>IF('信用保険料計算書（上限2000万）'!$M$15="",0,IF($B4&lt;'信用保険料計算書（上限2000万）'!$M$15,0,IF($B4&gt;'信用保険料計算書（上限2000万）'!$M$16,0,1)))</f>
        <v>0</v>
      </c>
      <c r="M4" s="209">
        <f>IF(L4=1,HLOOKUP(C4,'計算書（第5回）'!$C$123:$U$124,2,TRUE),0)</f>
        <v>0</v>
      </c>
      <c r="N4" s="209">
        <f>IF('信用保険料計算書（上限2000万）'!$O$15="",0,IF($B4&lt;'信用保険料計算書（上限2000万）'!$O$15,0,IF($B4&gt;'信用保険料計算書（上限2000万）'!$O$16,0,1)))</f>
        <v>0</v>
      </c>
      <c r="O4" s="209">
        <f>IF(N4=1,HLOOKUP(C4,'計算書（第6回）'!$C$123:$U$124,2,TRUE),0)</f>
        <v>0</v>
      </c>
      <c r="P4" s="209">
        <f>IF('信用保険料計算書（上限2000万）'!$Q$15="",0,IF($B4&lt;'信用保険料計算書（上限2000万）'!$Q$15,0,IF($B4&gt;'信用保険料計算書（上限2000万）'!$Q$16,0,1)))</f>
        <v>0</v>
      </c>
      <c r="Q4" s="209">
        <f>IF(P4=1,HLOOKUP(C4,'計算書（第7回）'!$C$123:$U$124,2,TRUE),0)</f>
        <v>0</v>
      </c>
      <c r="R4" s="210"/>
      <c r="S4" s="211">
        <f>COUNTIF($AB$13:$AB$19,"&lt;=2011/5/1")</f>
        <v>0</v>
      </c>
      <c r="T4" s="178" t="e">
        <f t="shared" ref="T4:T67" si="5">IF(S4="","",SMALL($AB$13:$AB$19,$S4))</f>
        <v>#NUM!</v>
      </c>
      <c r="U4" s="181">
        <f t="shared" si="1"/>
        <v>0</v>
      </c>
      <c r="V4" s="182">
        <f t="shared" si="2"/>
        <v>0</v>
      </c>
      <c r="W4" s="245">
        <f t="shared" si="3"/>
        <v>0</v>
      </c>
      <c r="X4" s="182"/>
      <c r="Z4" s="165"/>
      <c r="AA4" s="201" t="s">
        <v>141</v>
      </c>
      <c r="AB4" s="201" t="s">
        <v>102</v>
      </c>
      <c r="AC4" s="201" t="s">
        <v>127</v>
      </c>
    </row>
    <row r="5" spans="2:29">
      <c r="B5" s="214">
        <f t="shared" si="4"/>
        <v>40695</v>
      </c>
      <c r="C5" s="198">
        <f t="shared" si="0"/>
        <v>40664</v>
      </c>
      <c r="D5" s="209">
        <f>IF(B5&lt;'信用保険料計算書（上限2000万）'!$E$15,0,IF(B5&gt;'信用保険料計算書（上限2000万）'!$E$16,0,1))</f>
        <v>0</v>
      </c>
      <c r="E5" s="209">
        <f>IF(D5=1,HLOOKUP(C5,'計算書（第1回）'!$C$123:$U$124,2,TRUE),0)</f>
        <v>0</v>
      </c>
      <c r="F5" s="209">
        <f>IF('信用保険料計算書（上限2000万）'!$G$15="",0,IF($B5&lt;'信用保険料計算書（上限2000万）'!$G$15,0,IF($B5&gt;'信用保険料計算書（上限2000万）'!$G$16,0,1)))</f>
        <v>0</v>
      </c>
      <c r="G5" s="209">
        <f>IF(F5=1,HLOOKUP(C5,'計算書（第2回）'!$C$123:$U$124,2,TRUE),0)</f>
        <v>0</v>
      </c>
      <c r="H5" s="209">
        <f>IF('信用保険料計算書（上限2000万）'!$I$15="",0,IF($B5&lt;'信用保険料計算書（上限2000万）'!$I$15,0,IF($B5&gt;'信用保険料計算書（上限2000万）'!$I$16,0,1)))</f>
        <v>0</v>
      </c>
      <c r="I5" s="209">
        <f>IF(H5=1,HLOOKUP(C5,'計算書（第3回）'!$C$123:$U$124,2,TRUE),0)</f>
        <v>0</v>
      </c>
      <c r="J5" s="209">
        <f>IF('信用保険料計算書（上限2000万）'!$K$15="",0,IF($B5&lt;'信用保険料計算書（上限2000万）'!$K$15,0,IF($B5&gt;'信用保険料計算書（上限2000万）'!$K$16,0,1)))</f>
        <v>0</v>
      </c>
      <c r="K5" s="209">
        <f>IF(J5=1,HLOOKUP(C5,'計算書（第4回）'!$C$123:$U$124,2,TRUE),0)</f>
        <v>0</v>
      </c>
      <c r="L5" s="209">
        <f>IF('信用保険料計算書（上限2000万）'!$M$15="",0,IF($B5&lt;'信用保険料計算書（上限2000万）'!$M$15,0,IF($B5&gt;'信用保険料計算書（上限2000万）'!$M$16,0,1)))</f>
        <v>0</v>
      </c>
      <c r="M5" s="209">
        <f>IF(L5=1,HLOOKUP(C5,'計算書（第5回）'!$C$123:$U$124,2,TRUE),0)</f>
        <v>0</v>
      </c>
      <c r="N5" s="209">
        <f>IF('信用保険料計算書（上限2000万）'!$O$15="",0,IF($B5&lt;'信用保険料計算書（上限2000万）'!$O$15,0,IF($B5&gt;'信用保険料計算書（上限2000万）'!$O$16,0,1)))</f>
        <v>0</v>
      </c>
      <c r="O5" s="209">
        <f>IF(N5=1,HLOOKUP(C5,'計算書（第6回）'!$C$123:$U$124,2,TRUE),0)</f>
        <v>0</v>
      </c>
      <c r="P5" s="209">
        <f>IF('信用保険料計算書（上限2000万）'!$Q$15="",0,IF($B5&lt;'信用保険料計算書（上限2000万）'!$Q$15,0,IF($B5&gt;'信用保険料計算書（上限2000万）'!$Q$16,0,1)))</f>
        <v>0</v>
      </c>
      <c r="Q5" s="209">
        <f>IF(P5=1,HLOOKUP(C5,'計算書（第7回）'!$C$123:$U$124,2,TRUE),0)</f>
        <v>0</v>
      </c>
      <c r="R5" s="210"/>
      <c r="S5" s="211">
        <f>COUNTIF($AB$13:$AB$19,"&lt;=2011/6/1")</f>
        <v>0</v>
      </c>
      <c r="T5" s="178" t="e">
        <f t="shared" si="5"/>
        <v>#NUM!</v>
      </c>
      <c r="U5" s="181">
        <f t="shared" si="1"/>
        <v>0</v>
      </c>
      <c r="V5" s="182">
        <f t="shared" si="2"/>
        <v>0</v>
      </c>
      <c r="W5" s="245">
        <f t="shared" si="3"/>
        <v>0</v>
      </c>
      <c r="X5" s="182"/>
      <c r="Z5" s="189">
        <f>AA5</f>
        <v>40634</v>
      </c>
      <c r="AA5" s="202">
        <v>40634</v>
      </c>
      <c r="AB5" s="203">
        <v>5000000</v>
      </c>
      <c r="AC5" s="203">
        <v>7</v>
      </c>
    </row>
    <row r="6" spans="2:29">
      <c r="B6" s="214">
        <f t="shared" si="4"/>
        <v>40725</v>
      </c>
      <c r="C6" s="198">
        <f t="shared" si="0"/>
        <v>40695</v>
      </c>
      <c r="D6" s="209">
        <f>IF(B6&lt;'信用保険料計算書（上限2000万）'!$E$15,0,IF(B6&gt;'信用保険料計算書（上限2000万）'!$E$16,0,1))</f>
        <v>0</v>
      </c>
      <c r="E6" s="209">
        <f>IF(D6=1,HLOOKUP(C6,'計算書（第1回）'!$C$123:$U$124,2,TRUE),0)</f>
        <v>0</v>
      </c>
      <c r="F6" s="209">
        <f>IF('信用保険料計算書（上限2000万）'!$G$15="",0,IF($B6&lt;'信用保険料計算書（上限2000万）'!$G$15,0,IF($B6&gt;'信用保険料計算書（上限2000万）'!$G$16,0,1)))</f>
        <v>0</v>
      </c>
      <c r="G6" s="209">
        <f>IF(F6=1,HLOOKUP(C6,'計算書（第2回）'!$C$123:$U$124,2,TRUE),0)</f>
        <v>0</v>
      </c>
      <c r="H6" s="209">
        <f>IF('信用保険料計算書（上限2000万）'!$I$15="",0,IF($B6&lt;'信用保険料計算書（上限2000万）'!$I$15,0,IF($B6&gt;'信用保険料計算書（上限2000万）'!$I$16,0,1)))</f>
        <v>0</v>
      </c>
      <c r="I6" s="209">
        <f>IF(H6=1,HLOOKUP(C6,'計算書（第3回）'!$C$123:$U$124,2,TRUE),0)</f>
        <v>0</v>
      </c>
      <c r="J6" s="209">
        <f>IF('信用保険料計算書（上限2000万）'!$K$15="",0,IF($B6&lt;'信用保険料計算書（上限2000万）'!$K$15,0,IF($B6&gt;'信用保険料計算書（上限2000万）'!$K$16,0,1)))</f>
        <v>0</v>
      </c>
      <c r="K6" s="209">
        <f>IF(J6=1,HLOOKUP(C6,'計算書（第4回）'!$C$123:$U$124,2,TRUE),0)</f>
        <v>0</v>
      </c>
      <c r="L6" s="209">
        <f>IF('信用保険料計算書（上限2000万）'!$M$15="",0,IF($B6&lt;'信用保険料計算書（上限2000万）'!$M$15,0,IF($B6&gt;'信用保険料計算書（上限2000万）'!$M$16,0,1)))</f>
        <v>0</v>
      </c>
      <c r="M6" s="209">
        <f>IF(L6=1,HLOOKUP(C6,'計算書（第5回）'!$C$123:$U$124,2,TRUE),0)</f>
        <v>0</v>
      </c>
      <c r="N6" s="209">
        <f>IF('信用保険料計算書（上限2000万）'!$O$15="",0,IF($B6&lt;'信用保険料計算書（上限2000万）'!$O$15,0,IF($B6&gt;'信用保険料計算書（上限2000万）'!$O$16,0,1)))</f>
        <v>0</v>
      </c>
      <c r="O6" s="209">
        <f>IF(N6=1,HLOOKUP(C6,'計算書（第6回）'!$C$123:$U$124,2,TRUE),0)</f>
        <v>0</v>
      </c>
      <c r="P6" s="209">
        <f>IF('信用保険料計算書（上限2000万）'!$Q$15="",0,IF($B6&lt;'信用保険料計算書（上限2000万）'!$Q$15,0,IF($B6&gt;'信用保険料計算書（上限2000万）'!$Q$16,0,1)))</f>
        <v>0</v>
      </c>
      <c r="Q6" s="209">
        <f>IF(P6=1,HLOOKUP(C6,'計算書（第7回）'!$C$123:$U$124,2,TRUE),0)</f>
        <v>0</v>
      </c>
      <c r="R6" s="210"/>
      <c r="S6" s="211">
        <f>COUNTIF($AB$13:$AB$19,"&lt;=2011/7/1")</f>
        <v>0</v>
      </c>
      <c r="T6" s="178" t="e">
        <f t="shared" si="5"/>
        <v>#NUM!</v>
      </c>
      <c r="U6" s="181">
        <f t="shared" si="1"/>
        <v>0</v>
      </c>
      <c r="V6" s="182">
        <f t="shared" si="2"/>
        <v>0</v>
      </c>
      <c r="W6" s="245">
        <f t="shared" si="3"/>
        <v>0</v>
      </c>
      <c r="X6" s="182"/>
      <c r="Z6" s="189">
        <f>AA6</f>
        <v>41730</v>
      </c>
      <c r="AA6" s="202">
        <v>41730</v>
      </c>
      <c r="AB6" s="203">
        <v>10000000</v>
      </c>
      <c r="AC6" s="203">
        <v>7</v>
      </c>
    </row>
    <row r="7" spans="2:29">
      <c r="B7" s="214">
        <f t="shared" si="4"/>
        <v>40756</v>
      </c>
      <c r="C7" s="198">
        <f t="shared" si="0"/>
        <v>40725</v>
      </c>
      <c r="D7" s="209">
        <f>IF(B7&lt;'信用保険料計算書（上限2000万）'!$E$15,0,IF(B7&gt;'信用保険料計算書（上限2000万）'!$E$16,0,1))</f>
        <v>0</v>
      </c>
      <c r="E7" s="209">
        <f>IF(D7=1,HLOOKUP(C7,'計算書（第1回）'!$C$123:$U$124,2,TRUE),0)</f>
        <v>0</v>
      </c>
      <c r="F7" s="209">
        <f>IF('信用保険料計算書（上限2000万）'!$G$15="",0,IF($B7&lt;'信用保険料計算書（上限2000万）'!$G$15,0,IF($B7&gt;'信用保険料計算書（上限2000万）'!$G$16,0,1)))</f>
        <v>0</v>
      </c>
      <c r="G7" s="209">
        <f>IF(F7=1,HLOOKUP(C7,'計算書（第2回）'!$C$123:$U$124,2,TRUE),0)</f>
        <v>0</v>
      </c>
      <c r="H7" s="209">
        <f>IF('信用保険料計算書（上限2000万）'!$I$15="",0,IF($B7&lt;'信用保険料計算書（上限2000万）'!$I$15,0,IF($B7&gt;'信用保険料計算書（上限2000万）'!$I$16,0,1)))</f>
        <v>0</v>
      </c>
      <c r="I7" s="209">
        <f>IF(H7=1,HLOOKUP(C7,'計算書（第3回）'!$C$123:$U$124,2,TRUE),0)</f>
        <v>0</v>
      </c>
      <c r="J7" s="209">
        <f>IF('信用保険料計算書（上限2000万）'!$K$15="",0,IF($B7&lt;'信用保険料計算書（上限2000万）'!$K$15,0,IF($B7&gt;'信用保険料計算書（上限2000万）'!$K$16,0,1)))</f>
        <v>0</v>
      </c>
      <c r="K7" s="209">
        <f>IF(J7=1,HLOOKUP(C7,'計算書（第4回）'!$C$123:$U$124,2,TRUE),0)</f>
        <v>0</v>
      </c>
      <c r="L7" s="209">
        <f>IF('信用保険料計算書（上限2000万）'!$M$15="",0,IF($B7&lt;'信用保険料計算書（上限2000万）'!$M$15,0,IF($B7&gt;'信用保険料計算書（上限2000万）'!$M$16,0,1)))</f>
        <v>0</v>
      </c>
      <c r="M7" s="209">
        <f>IF(L7=1,HLOOKUP(C7,'計算書（第5回）'!$C$123:$U$124,2,TRUE),0)</f>
        <v>0</v>
      </c>
      <c r="N7" s="209">
        <f>IF('信用保険料計算書（上限2000万）'!$O$15="",0,IF($B7&lt;'信用保険料計算書（上限2000万）'!$O$15,0,IF($B7&gt;'信用保険料計算書（上限2000万）'!$O$16,0,1)))</f>
        <v>0</v>
      </c>
      <c r="O7" s="209">
        <f>IF(N7=1,HLOOKUP(C7,'計算書（第6回）'!$C$123:$U$124,2,TRUE),0)</f>
        <v>0</v>
      </c>
      <c r="P7" s="209">
        <f>IF('信用保険料計算書（上限2000万）'!$Q$15="",0,IF($B7&lt;'信用保険料計算書（上限2000万）'!$Q$15,0,IF($B7&gt;'信用保険料計算書（上限2000万）'!$Q$16,0,1)))</f>
        <v>0</v>
      </c>
      <c r="Q7" s="209">
        <f>IF(P7=1,HLOOKUP(C7,'計算書（第7回）'!$C$123:$U$124,2,TRUE),0)</f>
        <v>0</v>
      </c>
      <c r="R7" s="210"/>
      <c r="S7" s="211">
        <f>COUNTIF($AB$13:$AB$19,"&lt;=2011/8/1")</f>
        <v>0</v>
      </c>
      <c r="T7" s="178" t="e">
        <f t="shared" si="5"/>
        <v>#NUM!</v>
      </c>
      <c r="U7" s="181">
        <f t="shared" si="1"/>
        <v>0</v>
      </c>
      <c r="V7" s="182">
        <f t="shared" si="2"/>
        <v>0</v>
      </c>
      <c r="W7" s="245">
        <f t="shared" si="3"/>
        <v>0</v>
      </c>
      <c r="X7" s="182"/>
      <c r="Z7" s="189">
        <f>AA7</f>
        <v>42095</v>
      </c>
      <c r="AA7" s="202">
        <v>42095</v>
      </c>
      <c r="AB7" s="203">
        <v>20000000</v>
      </c>
      <c r="AC7" s="203">
        <v>9</v>
      </c>
    </row>
    <row r="8" spans="2:29">
      <c r="B8" s="214">
        <f t="shared" si="4"/>
        <v>40787</v>
      </c>
      <c r="C8" s="198">
        <f t="shared" si="0"/>
        <v>40756</v>
      </c>
      <c r="D8" s="209">
        <f>IF(B8&lt;'信用保険料計算書（上限2000万）'!$E$15,0,IF(B8&gt;'信用保険料計算書（上限2000万）'!$E$16,0,1))</f>
        <v>0</v>
      </c>
      <c r="E8" s="209">
        <f>IF(D8=1,HLOOKUP(C8,'計算書（第1回）'!$C$123:$U$124,2,TRUE),0)</f>
        <v>0</v>
      </c>
      <c r="F8" s="209">
        <f>IF('信用保険料計算書（上限2000万）'!$G$15="",0,IF($B8&lt;'信用保険料計算書（上限2000万）'!$G$15,0,IF($B8&gt;'信用保険料計算書（上限2000万）'!$G$16,0,1)))</f>
        <v>0</v>
      </c>
      <c r="G8" s="209">
        <f>IF(F8=1,HLOOKUP(C8,'計算書（第2回）'!$C$123:$U$124,2,TRUE),0)</f>
        <v>0</v>
      </c>
      <c r="H8" s="209">
        <f>IF('信用保険料計算書（上限2000万）'!$I$15="",0,IF($B8&lt;'信用保険料計算書（上限2000万）'!$I$15,0,IF($B8&gt;'信用保険料計算書（上限2000万）'!$I$16,0,1)))</f>
        <v>0</v>
      </c>
      <c r="I8" s="209">
        <f>IF(H8=1,HLOOKUP(C8,'計算書（第3回）'!$C$123:$U$124,2,TRUE),0)</f>
        <v>0</v>
      </c>
      <c r="J8" s="209">
        <f>IF('信用保険料計算書（上限2000万）'!$K$15="",0,IF($B8&lt;'信用保険料計算書（上限2000万）'!$K$15,0,IF($B8&gt;'信用保険料計算書（上限2000万）'!$K$16,0,1)))</f>
        <v>0</v>
      </c>
      <c r="K8" s="209">
        <f>IF(J8=1,HLOOKUP(C8,'計算書（第4回）'!$C$123:$U$124,2,TRUE),0)</f>
        <v>0</v>
      </c>
      <c r="L8" s="209">
        <f>IF('信用保険料計算書（上限2000万）'!$M$15="",0,IF($B8&lt;'信用保険料計算書（上限2000万）'!$M$15,0,IF($B8&gt;'信用保険料計算書（上限2000万）'!$M$16,0,1)))</f>
        <v>0</v>
      </c>
      <c r="M8" s="209">
        <f>IF(L8=1,HLOOKUP(C8,'計算書（第5回）'!$C$123:$U$124,2,TRUE),0)</f>
        <v>0</v>
      </c>
      <c r="N8" s="209">
        <f>IF('信用保険料計算書（上限2000万）'!$O$15="",0,IF($B8&lt;'信用保険料計算書（上限2000万）'!$O$15,0,IF($B8&gt;'信用保険料計算書（上限2000万）'!$O$16,0,1)))</f>
        <v>0</v>
      </c>
      <c r="O8" s="209">
        <f>IF(N8=1,HLOOKUP(C8,'計算書（第6回）'!$C$123:$U$124,2,TRUE),0)</f>
        <v>0</v>
      </c>
      <c r="P8" s="209">
        <f>IF('信用保険料計算書（上限2000万）'!$Q$15="",0,IF($B8&lt;'信用保険料計算書（上限2000万）'!$Q$15,0,IF($B8&gt;'信用保険料計算書（上限2000万）'!$Q$16,0,1)))</f>
        <v>0</v>
      </c>
      <c r="Q8" s="209">
        <f>IF(P8=1,HLOOKUP(C8,'計算書（第7回）'!$C$123:$U$124,2,TRUE),0)</f>
        <v>0</v>
      </c>
      <c r="R8" s="210"/>
      <c r="S8" s="211">
        <f>COUNTIF($AB$13:$AB$19,"&lt;=2011/9/1")</f>
        <v>0</v>
      </c>
      <c r="T8" s="178" t="e">
        <f t="shared" si="5"/>
        <v>#NUM!</v>
      </c>
      <c r="U8" s="181">
        <f t="shared" si="1"/>
        <v>0</v>
      </c>
      <c r="V8" s="182">
        <f t="shared" si="2"/>
        <v>0</v>
      </c>
      <c r="W8" s="245">
        <f t="shared" si="3"/>
        <v>0</v>
      </c>
      <c r="X8" s="183">
        <f>INT(SUM(W3:W8))</f>
        <v>0</v>
      </c>
      <c r="Z8" s="189"/>
      <c r="AA8" s="202"/>
      <c r="AB8" s="203"/>
      <c r="AC8" s="203"/>
    </row>
    <row r="9" spans="2:29">
      <c r="B9" s="214">
        <f t="shared" si="4"/>
        <v>40817</v>
      </c>
      <c r="C9" s="198">
        <f t="shared" si="0"/>
        <v>40787</v>
      </c>
      <c r="D9" s="209">
        <f>IF(B9&lt;'信用保険料計算書（上限2000万）'!$E$15,0,IF(B9&gt;'信用保険料計算書（上限2000万）'!$E$16,0,1))</f>
        <v>0</v>
      </c>
      <c r="E9" s="209">
        <f>IF(D9=1,HLOOKUP(C9,'計算書（第1回）'!$C$123:$U$124,2,TRUE),0)</f>
        <v>0</v>
      </c>
      <c r="F9" s="209">
        <f>IF('信用保険料計算書（上限2000万）'!$G$15="",0,IF($B9&lt;'信用保険料計算書（上限2000万）'!$G$15,0,IF($B9&gt;'信用保険料計算書（上限2000万）'!$G$16,0,1)))</f>
        <v>0</v>
      </c>
      <c r="G9" s="209">
        <f>IF(F9=1,HLOOKUP(C9,'計算書（第2回）'!$C$123:$U$124,2,TRUE),0)</f>
        <v>0</v>
      </c>
      <c r="H9" s="209">
        <f>IF('信用保険料計算書（上限2000万）'!$I$15="",0,IF($B9&lt;'信用保険料計算書（上限2000万）'!$I$15,0,IF($B9&gt;'信用保険料計算書（上限2000万）'!$I$16,0,1)))</f>
        <v>0</v>
      </c>
      <c r="I9" s="209">
        <f>IF(H9=1,HLOOKUP(C9,'計算書（第3回）'!$C$123:$U$124,2,TRUE),0)</f>
        <v>0</v>
      </c>
      <c r="J9" s="209">
        <f>IF('信用保険料計算書（上限2000万）'!$K$15="",0,IF($B9&lt;'信用保険料計算書（上限2000万）'!$K$15,0,IF($B9&gt;'信用保険料計算書（上限2000万）'!$K$16,0,1)))</f>
        <v>0</v>
      </c>
      <c r="K9" s="209">
        <f>IF(J9=1,HLOOKUP(C9,'計算書（第4回）'!$C$123:$U$124,2,TRUE),0)</f>
        <v>0</v>
      </c>
      <c r="L9" s="209">
        <f>IF('信用保険料計算書（上限2000万）'!$M$15="",0,IF($B9&lt;'信用保険料計算書（上限2000万）'!$M$15,0,IF($B9&gt;'信用保険料計算書（上限2000万）'!$M$16,0,1)))</f>
        <v>0</v>
      </c>
      <c r="M9" s="209">
        <f>IF(L9=1,HLOOKUP(C9,'計算書（第5回）'!$C$123:$U$124,2,TRUE),0)</f>
        <v>0</v>
      </c>
      <c r="N9" s="209">
        <f>IF('信用保険料計算書（上限2000万）'!$O$15="",0,IF($B9&lt;'信用保険料計算書（上限2000万）'!$O$15,0,IF($B9&gt;'信用保険料計算書（上限2000万）'!$O$16,0,1)))</f>
        <v>0</v>
      </c>
      <c r="O9" s="209">
        <f>IF(N9=1,HLOOKUP(C9,'計算書（第6回）'!$C$123:$U$124,2,TRUE),0)</f>
        <v>0</v>
      </c>
      <c r="P9" s="209">
        <f>IF('信用保険料計算書（上限2000万）'!$Q$15="",0,IF($B9&lt;'信用保険料計算書（上限2000万）'!$Q$15,0,IF($B9&gt;'信用保険料計算書（上限2000万）'!$Q$16,0,1)))</f>
        <v>0</v>
      </c>
      <c r="Q9" s="209">
        <f>IF(P9=1,HLOOKUP(C9,'計算書（第7回）'!$C$123:$U$124,2,TRUE),0)</f>
        <v>0</v>
      </c>
      <c r="R9" s="210"/>
      <c r="S9" s="211">
        <f>COUNTIF($AB$13:$AB$19,"&lt;=2011/10/1")</f>
        <v>0</v>
      </c>
      <c r="T9" s="178" t="e">
        <f t="shared" si="5"/>
        <v>#NUM!</v>
      </c>
      <c r="U9" s="181">
        <f t="shared" si="1"/>
        <v>0</v>
      </c>
      <c r="V9" s="182">
        <f t="shared" si="2"/>
        <v>0</v>
      </c>
      <c r="W9" s="245">
        <f t="shared" si="3"/>
        <v>0</v>
      </c>
      <c r="X9" s="182"/>
      <c r="Z9" s="165"/>
      <c r="AA9" s="165"/>
      <c r="AB9" s="165"/>
      <c r="AC9" s="165"/>
    </row>
    <row r="10" spans="2:29" ht="13.8" thickBot="1">
      <c r="B10" s="214">
        <f t="shared" si="4"/>
        <v>40848</v>
      </c>
      <c r="C10" s="198">
        <f t="shared" si="0"/>
        <v>40817</v>
      </c>
      <c r="D10" s="209">
        <f>IF(B10&lt;'信用保険料計算書（上限2000万）'!$E$15,0,IF(B10&gt;'信用保険料計算書（上限2000万）'!$E$16,0,1))</f>
        <v>0</v>
      </c>
      <c r="E10" s="209">
        <f>IF(D10=1,HLOOKUP(C10,'計算書（第1回）'!$C$123:$U$124,2,TRUE),0)</f>
        <v>0</v>
      </c>
      <c r="F10" s="209">
        <f>IF('信用保険料計算書（上限2000万）'!$G$15="",0,IF($B10&lt;'信用保険料計算書（上限2000万）'!$G$15,0,IF($B10&gt;'信用保険料計算書（上限2000万）'!$G$16,0,1)))</f>
        <v>0</v>
      </c>
      <c r="G10" s="209">
        <f>IF(F10=1,HLOOKUP(C10,'計算書（第2回）'!$C$123:$U$124,2,TRUE),0)</f>
        <v>0</v>
      </c>
      <c r="H10" s="209">
        <f>IF('信用保険料計算書（上限2000万）'!$I$15="",0,IF($B10&lt;'信用保険料計算書（上限2000万）'!$I$15,0,IF($B10&gt;'信用保険料計算書（上限2000万）'!$I$16,0,1)))</f>
        <v>0</v>
      </c>
      <c r="I10" s="209">
        <f>IF(H10=1,HLOOKUP(C10,'計算書（第3回）'!$C$123:$U$124,2,TRUE),0)</f>
        <v>0</v>
      </c>
      <c r="J10" s="209">
        <f>IF('信用保険料計算書（上限2000万）'!$K$15="",0,IF($B10&lt;'信用保険料計算書（上限2000万）'!$K$15,0,IF($B10&gt;'信用保険料計算書（上限2000万）'!$K$16,0,1)))</f>
        <v>0</v>
      </c>
      <c r="K10" s="209">
        <f>IF(J10=1,HLOOKUP(C10,'計算書（第4回）'!$C$123:$U$124,2,TRUE),0)</f>
        <v>0</v>
      </c>
      <c r="L10" s="209">
        <f>IF('信用保険料計算書（上限2000万）'!$M$15="",0,IF($B10&lt;'信用保険料計算書（上限2000万）'!$M$15,0,IF($B10&gt;'信用保険料計算書（上限2000万）'!$M$16,0,1)))</f>
        <v>0</v>
      </c>
      <c r="M10" s="209">
        <f>IF(L10=1,HLOOKUP(C10,'計算書（第5回）'!$C$123:$U$124,2,TRUE),0)</f>
        <v>0</v>
      </c>
      <c r="N10" s="209">
        <f>IF('信用保険料計算書（上限2000万）'!$O$15="",0,IF($B10&lt;'信用保険料計算書（上限2000万）'!$O$15,0,IF($B10&gt;'信用保険料計算書（上限2000万）'!$O$16,0,1)))</f>
        <v>0</v>
      </c>
      <c r="O10" s="209">
        <f>IF(N10=1,HLOOKUP(C10,'計算書（第6回）'!$C$123:$U$124,2,TRUE),0)</f>
        <v>0</v>
      </c>
      <c r="P10" s="209">
        <f>IF('信用保険料計算書（上限2000万）'!$Q$15="",0,IF($B10&lt;'信用保険料計算書（上限2000万）'!$Q$15,0,IF($B10&gt;'信用保険料計算書（上限2000万）'!$Q$16,0,1)))</f>
        <v>0</v>
      </c>
      <c r="Q10" s="209">
        <f>IF(P10=1,HLOOKUP(C10,'計算書（第7回）'!$C$123:$U$124,2,TRUE),0)</f>
        <v>0</v>
      </c>
      <c r="R10" s="210"/>
      <c r="S10" s="211">
        <f>COUNTIF($AB$13:$AB$19,"&lt;=2011/11/1")</f>
        <v>0</v>
      </c>
      <c r="T10" s="178" t="e">
        <f t="shared" si="5"/>
        <v>#NUM!</v>
      </c>
      <c r="U10" s="181">
        <f t="shared" si="1"/>
        <v>0</v>
      </c>
      <c r="V10" s="182">
        <f t="shared" si="2"/>
        <v>0</v>
      </c>
      <c r="W10" s="245">
        <f t="shared" si="3"/>
        <v>0</v>
      </c>
      <c r="X10" s="182"/>
      <c r="Z10" s="165"/>
      <c r="AA10" s="165"/>
      <c r="AB10" s="165"/>
      <c r="AC10" s="165"/>
    </row>
    <row r="11" spans="2:29">
      <c r="B11" s="214">
        <f t="shared" si="4"/>
        <v>40878</v>
      </c>
      <c r="C11" s="198">
        <f t="shared" si="0"/>
        <v>40848</v>
      </c>
      <c r="D11" s="209">
        <f>IF(B11&lt;'信用保険料計算書（上限2000万）'!$E$15,0,IF(B11&gt;'信用保険料計算書（上限2000万）'!$E$16,0,1))</f>
        <v>0</v>
      </c>
      <c r="E11" s="209">
        <f>IF(D11=1,HLOOKUP(C11,'計算書（第1回）'!$C$123:$U$124,2,TRUE),0)</f>
        <v>0</v>
      </c>
      <c r="F11" s="209">
        <f>IF('信用保険料計算書（上限2000万）'!$G$15="",0,IF($B11&lt;'信用保険料計算書（上限2000万）'!$G$15,0,IF($B11&gt;'信用保険料計算書（上限2000万）'!$G$16,0,1)))</f>
        <v>0</v>
      </c>
      <c r="G11" s="209">
        <f>IF(F11=1,HLOOKUP(C11,'計算書（第2回）'!$C$123:$U$124,2,TRUE),0)</f>
        <v>0</v>
      </c>
      <c r="H11" s="209">
        <f>IF('信用保険料計算書（上限2000万）'!$I$15="",0,IF($B11&lt;'信用保険料計算書（上限2000万）'!$I$15,0,IF($B11&gt;'信用保険料計算書（上限2000万）'!$I$16,0,1)))</f>
        <v>0</v>
      </c>
      <c r="I11" s="209">
        <f>IF(H11=1,HLOOKUP(C11,'計算書（第3回）'!$C$123:$U$124,2,TRUE),0)</f>
        <v>0</v>
      </c>
      <c r="J11" s="209">
        <f>IF('信用保険料計算書（上限2000万）'!$K$15="",0,IF($B11&lt;'信用保険料計算書（上限2000万）'!$K$15,0,IF($B11&gt;'信用保険料計算書（上限2000万）'!$K$16,0,1)))</f>
        <v>0</v>
      </c>
      <c r="K11" s="209">
        <f>IF(J11=1,HLOOKUP(C11,'計算書（第4回）'!$C$123:$U$124,2,TRUE),0)</f>
        <v>0</v>
      </c>
      <c r="L11" s="209">
        <f>IF('信用保険料計算書（上限2000万）'!$M$15="",0,IF($B11&lt;'信用保険料計算書（上限2000万）'!$M$15,0,IF($B11&gt;'信用保険料計算書（上限2000万）'!$M$16,0,1)))</f>
        <v>0</v>
      </c>
      <c r="M11" s="209">
        <f>IF(L11=1,HLOOKUP(C11,'計算書（第5回）'!$C$123:$U$124,2,TRUE),0)</f>
        <v>0</v>
      </c>
      <c r="N11" s="209">
        <f>IF('信用保険料計算書（上限2000万）'!$O$15="",0,IF($B11&lt;'信用保険料計算書（上限2000万）'!$O$15,0,IF($B11&gt;'信用保険料計算書（上限2000万）'!$O$16,0,1)))</f>
        <v>0</v>
      </c>
      <c r="O11" s="209">
        <f>IF(N11=1,HLOOKUP(C11,'計算書（第6回）'!$C$123:$U$124,2,TRUE),0)</f>
        <v>0</v>
      </c>
      <c r="P11" s="209">
        <f>IF('信用保険料計算書（上限2000万）'!$Q$15="",0,IF($B11&lt;'信用保険料計算書（上限2000万）'!$Q$15,0,IF($B11&gt;'信用保険料計算書（上限2000万）'!$Q$16,0,1)))</f>
        <v>0</v>
      </c>
      <c r="Q11" s="209">
        <f>IF(P11=1,HLOOKUP(C11,'計算書（第7回）'!$C$123:$U$124,2,TRUE),0)</f>
        <v>0</v>
      </c>
      <c r="R11" s="210"/>
      <c r="S11" s="211">
        <f>COUNTIF($AB$13:$AB$19,"&lt;=2011/12/1")</f>
        <v>0</v>
      </c>
      <c r="T11" s="178" t="e">
        <f t="shared" si="5"/>
        <v>#NUM!</v>
      </c>
      <c r="U11" s="181">
        <f t="shared" si="1"/>
        <v>0</v>
      </c>
      <c r="V11" s="182">
        <f t="shared" si="2"/>
        <v>0</v>
      </c>
      <c r="W11" s="245">
        <f t="shared" si="3"/>
        <v>0</v>
      </c>
      <c r="X11" s="182"/>
      <c r="Z11" s="165"/>
      <c r="AB11" s="266" t="s">
        <v>143</v>
      </c>
      <c r="AC11" s="165"/>
    </row>
    <row r="12" spans="2:29" ht="15" customHeight="1" thickBot="1">
      <c r="B12" s="214">
        <f t="shared" si="4"/>
        <v>40909</v>
      </c>
      <c r="C12" s="198">
        <f t="shared" si="0"/>
        <v>40878</v>
      </c>
      <c r="D12" s="209">
        <f>IF(B12&lt;'信用保険料計算書（上限2000万）'!$E$15,0,IF(B12&gt;'信用保険料計算書（上限2000万）'!$E$16,0,1))</f>
        <v>0</v>
      </c>
      <c r="E12" s="209">
        <f>IF(D12=1,HLOOKUP(C12,'計算書（第1回）'!$C$123:$U$124,2,TRUE),0)</f>
        <v>0</v>
      </c>
      <c r="F12" s="209">
        <f>IF('信用保険料計算書（上限2000万）'!$G$15="",0,IF($B12&lt;'信用保険料計算書（上限2000万）'!$G$15,0,IF($B12&gt;'信用保険料計算書（上限2000万）'!$G$16,0,1)))</f>
        <v>0</v>
      </c>
      <c r="G12" s="209">
        <f>IF(F12=1,HLOOKUP(C12,'計算書（第2回）'!$C$123:$U$124,2,TRUE),0)</f>
        <v>0</v>
      </c>
      <c r="H12" s="209">
        <f>IF('信用保険料計算書（上限2000万）'!$I$15="",0,IF($B12&lt;'信用保険料計算書（上限2000万）'!$I$15,0,IF($B12&gt;'信用保険料計算書（上限2000万）'!$I$16,0,1)))</f>
        <v>0</v>
      </c>
      <c r="I12" s="209">
        <f>IF(H12=1,HLOOKUP(C12,'計算書（第3回）'!$C$123:$U$124,2,TRUE),0)</f>
        <v>0</v>
      </c>
      <c r="J12" s="209">
        <f>IF('信用保険料計算書（上限2000万）'!$K$15="",0,IF($B12&lt;'信用保険料計算書（上限2000万）'!$K$15,0,IF($B12&gt;'信用保険料計算書（上限2000万）'!$K$16,0,1)))</f>
        <v>0</v>
      </c>
      <c r="K12" s="209">
        <f>IF(J12=1,HLOOKUP(C12,'計算書（第4回）'!$C$123:$U$124,2,TRUE),0)</f>
        <v>0</v>
      </c>
      <c r="L12" s="209">
        <f>IF('信用保険料計算書（上限2000万）'!$M$15="",0,IF($B12&lt;'信用保険料計算書（上限2000万）'!$M$15,0,IF($B12&gt;'信用保険料計算書（上限2000万）'!$M$16,0,1)))</f>
        <v>0</v>
      </c>
      <c r="M12" s="209">
        <f>IF(L12=1,HLOOKUP(C12,'計算書（第5回）'!$C$123:$U$124,2,TRUE),0)</f>
        <v>0</v>
      </c>
      <c r="N12" s="209">
        <f>IF('信用保険料計算書（上限2000万）'!$O$15="",0,IF($B12&lt;'信用保険料計算書（上限2000万）'!$O$15,0,IF($B12&gt;'信用保険料計算書（上限2000万）'!$O$16,0,1)))</f>
        <v>0</v>
      </c>
      <c r="O12" s="209">
        <f>IF(N12=1,HLOOKUP(C12,'計算書（第6回）'!$C$123:$U$124,2,TRUE),0)</f>
        <v>0</v>
      </c>
      <c r="P12" s="209">
        <f>IF('信用保険料計算書（上限2000万）'!$Q$15="",0,IF($B12&lt;'信用保険料計算書（上限2000万）'!$Q$15,0,IF($B12&gt;'信用保険料計算書（上限2000万）'!$Q$16,0,1)))</f>
        <v>0</v>
      </c>
      <c r="Q12" s="209">
        <f>IF(P12=1,HLOOKUP(C12,'計算書（第7回）'!$C$123:$U$124,2,TRUE),0)</f>
        <v>0</v>
      </c>
      <c r="R12" s="210"/>
      <c r="S12" s="211">
        <f>COUNTIF($AB$13:$AB$19,"&lt;=2012/1/1")</f>
        <v>0</v>
      </c>
      <c r="T12" s="178" t="e">
        <f t="shared" si="5"/>
        <v>#NUM!</v>
      </c>
      <c r="U12" s="181">
        <f t="shared" si="1"/>
        <v>0</v>
      </c>
      <c r="V12" s="182">
        <f t="shared" si="2"/>
        <v>0</v>
      </c>
      <c r="W12" s="245">
        <f t="shared" si="3"/>
        <v>0</v>
      </c>
      <c r="X12" s="182"/>
      <c r="Z12" s="165"/>
      <c r="AB12" s="267"/>
      <c r="AC12" s="165"/>
    </row>
    <row r="13" spans="2:29" ht="15" customHeight="1" thickBot="1">
      <c r="B13" s="214">
        <f t="shared" si="4"/>
        <v>40940</v>
      </c>
      <c r="C13" s="198">
        <f t="shared" si="0"/>
        <v>40909</v>
      </c>
      <c r="D13" s="209">
        <f>IF(B13&lt;'信用保険料計算書（上限2000万）'!$E$15,0,IF(B13&gt;'信用保険料計算書（上限2000万）'!$E$16,0,1))</f>
        <v>0</v>
      </c>
      <c r="E13" s="209">
        <f>IF(D13=1,HLOOKUP(C13,'計算書（第1回）'!$C$123:$U$124,2,TRUE),0)</f>
        <v>0</v>
      </c>
      <c r="F13" s="209">
        <f>IF('信用保険料計算書（上限2000万）'!$G$15="",0,IF($B13&lt;'信用保険料計算書（上限2000万）'!$G$15,0,IF($B13&gt;'信用保険料計算書（上限2000万）'!$G$16,0,1)))</f>
        <v>0</v>
      </c>
      <c r="G13" s="209">
        <f>IF(F13=1,HLOOKUP(C13,'計算書（第2回）'!$C$123:$U$124,2,TRUE),0)</f>
        <v>0</v>
      </c>
      <c r="H13" s="209">
        <f>IF('信用保険料計算書（上限2000万）'!$I$15="",0,IF($B13&lt;'信用保険料計算書（上限2000万）'!$I$15,0,IF($B13&gt;'信用保険料計算書（上限2000万）'!$I$16,0,1)))</f>
        <v>0</v>
      </c>
      <c r="I13" s="209">
        <f>IF(H13=1,HLOOKUP(C13,'計算書（第3回）'!$C$123:$U$124,2,TRUE),0)</f>
        <v>0</v>
      </c>
      <c r="J13" s="209">
        <f>IF('信用保険料計算書（上限2000万）'!$K$15="",0,IF($B13&lt;'信用保険料計算書（上限2000万）'!$K$15,0,IF($B13&gt;'信用保険料計算書（上限2000万）'!$K$16,0,1)))</f>
        <v>0</v>
      </c>
      <c r="K13" s="209">
        <f>IF(J13=1,HLOOKUP(C13,'計算書（第4回）'!$C$123:$U$124,2,TRUE),0)</f>
        <v>0</v>
      </c>
      <c r="L13" s="209">
        <f>IF('信用保険料計算書（上限2000万）'!$M$15="",0,IF($B13&lt;'信用保険料計算書（上限2000万）'!$M$15,0,IF($B13&gt;'信用保険料計算書（上限2000万）'!$M$16,0,1)))</f>
        <v>0</v>
      </c>
      <c r="M13" s="209">
        <f>IF(L13=1,HLOOKUP(C13,'計算書（第5回）'!$C$123:$U$124,2,TRUE),0)</f>
        <v>0</v>
      </c>
      <c r="N13" s="209">
        <f>IF('信用保険料計算書（上限2000万）'!$O$15="",0,IF($B13&lt;'信用保険料計算書（上限2000万）'!$O$15,0,IF($B13&gt;'信用保険料計算書（上限2000万）'!$O$16,0,1)))</f>
        <v>0</v>
      </c>
      <c r="O13" s="209">
        <f>IF(N13=1,HLOOKUP(C13,'計算書（第6回）'!$C$123:$U$124,2,TRUE),0)</f>
        <v>0</v>
      </c>
      <c r="P13" s="209">
        <f>IF('信用保険料計算書（上限2000万）'!$Q$15="",0,IF($B13&lt;'信用保険料計算書（上限2000万）'!$Q$15,0,IF($B13&gt;'信用保険料計算書（上限2000万）'!$Q$16,0,1)))</f>
        <v>0</v>
      </c>
      <c r="Q13" s="209">
        <f>IF(P13=1,HLOOKUP(C13,'計算書（第7回）'!$C$123:$U$124,2,TRUE),0)</f>
        <v>0</v>
      </c>
      <c r="R13" s="210"/>
      <c r="S13" s="211">
        <f>COUNTIF($AB$13:$AB$19,"&lt;=2012/2/1")</f>
        <v>0</v>
      </c>
      <c r="T13" s="178" t="e">
        <f t="shared" si="5"/>
        <v>#NUM!</v>
      </c>
      <c r="U13" s="181">
        <f t="shared" si="1"/>
        <v>0</v>
      </c>
      <c r="V13" s="182">
        <f t="shared" si="2"/>
        <v>0</v>
      </c>
      <c r="W13" s="245">
        <f t="shared" si="3"/>
        <v>0</v>
      </c>
      <c r="X13" s="182"/>
      <c r="Z13" s="165"/>
      <c r="AA13" s="204" t="s">
        <v>129</v>
      </c>
      <c r="AB13" s="205">
        <f>IF('信用保険料計算書（上限2000万）'!E15="","",'信用保険料計算書（上限2000万）'!E15)</f>
        <v>44652</v>
      </c>
      <c r="AC13" s="189"/>
    </row>
    <row r="14" spans="2:29" ht="15" customHeight="1" thickBot="1">
      <c r="B14" s="214">
        <f t="shared" si="4"/>
        <v>40969</v>
      </c>
      <c r="C14" s="198">
        <f t="shared" si="0"/>
        <v>40940</v>
      </c>
      <c r="D14" s="209">
        <f>IF(B14&lt;'信用保険料計算書（上限2000万）'!$E$15,0,IF(B14&gt;'信用保険料計算書（上限2000万）'!$E$16,0,1))</f>
        <v>0</v>
      </c>
      <c r="E14" s="209">
        <f>IF(D14=1,HLOOKUP(C14,'計算書（第1回）'!$C$123:$U$124,2,TRUE),0)</f>
        <v>0</v>
      </c>
      <c r="F14" s="209">
        <f>IF('信用保険料計算書（上限2000万）'!$G$15="",0,IF($B14&lt;'信用保険料計算書（上限2000万）'!$G$15,0,IF($B14&gt;'信用保険料計算書（上限2000万）'!$G$16,0,1)))</f>
        <v>0</v>
      </c>
      <c r="G14" s="209">
        <f>IF(F14=1,HLOOKUP(C14,'計算書（第2回）'!$C$123:$U$124,2,TRUE),0)</f>
        <v>0</v>
      </c>
      <c r="H14" s="209">
        <f>IF('信用保険料計算書（上限2000万）'!$I$15="",0,IF($B14&lt;'信用保険料計算書（上限2000万）'!$I$15,0,IF($B14&gt;'信用保険料計算書（上限2000万）'!$I$16,0,1)))</f>
        <v>0</v>
      </c>
      <c r="I14" s="209">
        <f>IF(H14=1,HLOOKUP(C14,'計算書（第3回）'!$C$123:$U$124,2,TRUE),0)</f>
        <v>0</v>
      </c>
      <c r="J14" s="209">
        <f>IF('信用保険料計算書（上限2000万）'!$K$15="",0,IF($B14&lt;'信用保険料計算書（上限2000万）'!$K$15,0,IF($B14&gt;'信用保険料計算書（上限2000万）'!$K$16,0,1)))</f>
        <v>0</v>
      </c>
      <c r="K14" s="209">
        <f>IF(J14=1,HLOOKUP(C14,'計算書（第4回）'!$C$123:$U$124,2,TRUE),0)</f>
        <v>0</v>
      </c>
      <c r="L14" s="209">
        <f>IF('信用保険料計算書（上限2000万）'!$M$15="",0,IF($B14&lt;'信用保険料計算書（上限2000万）'!$M$15,0,IF($B14&gt;'信用保険料計算書（上限2000万）'!$M$16,0,1)))</f>
        <v>0</v>
      </c>
      <c r="M14" s="209">
        <f>IF(L14=1,HLOOKUP(C14,'計算書（第5回）'!$C$123:$U$124,2,TRUE),0)</f>
        <v>0</v>
      </c>
      <c r="N14" s="209">
        <f>IF('信用保険料計算書（上限2000万）'!$O$15="",0,IF($B14&lt;'信用保険料計算書（上限2000万）'!$O$15,0,IF($B14&gt;'信用保険料計算書（上限2000万）'!$O$16,0,1)))</f>
        <v>0</v>
      </c>
      <c r="O14" s="209">
        <f>IF(N14=1,HLOOKUP(C14,'計算書（第6回）'!$C$123:$U$124,2,TRUE),0)</f>
        <v>0</v>
      </c>
      <c r="P14" s="209">
        <f>IF('信用保険料計算書（上限2000万）'!$Q$15="",0,IF($B14&lt;'信用保険料計算書（上限2000万）'!$Q$15,0,IF($B14&gt;'信用保険料計算書（上限2000万）'!$Q$16,0,1)))</f>
        <v>0</v>
      </c>
      <c r="Q14" s="209">
        <f>IF(P14=1,HLOOKUP(C14,'計算書（第7回）'!$C$123:$U$124,2,TRUE),0)</f>
        <v>0</v>
      </c>
      <c r="R14" s="210"/>
      <c r="S14" s="211">
        <f>COUNTIF($AB$13:$AB$19,"&lt;=2012/3/1")</f>
        <v>0</v>
      </c>
      <c r="T14" s="178" t="e">
        <f t="shared" si="5"/>
        <v>#NUM!</v>
      </c>
      <c r="U14" s="181">
        <f t="shared" si="1"/>
        <v>0</v>
      </c>
      <c r="V14" s="182">
        <f t="shared" si="2"/>
        <v>0</v>
      </c>
      <c r="W14" s="245">
        <f t="shared" si="3"/>
        <v>0</v>
      </c>
      <c r="X14" s="183">
        <f>INT(SUM(W9:W14))</f>
        <v>0</v>
      </c>
      <c r="Z14" s="165"/>
      <c r="AA14" s="204" t="s">
        <v>130</v>
      </c>
      <c r="AB14" s="205">
        <f>IF('信用保険料計算書（上限2000万）'!G15="","",'信用保険料計算書（上限2000万）'!G15)</f>
        <v>44743</v>
      </c>
      <c r="AC14" s="189"/>
    </row>
    <row r="15" spans="2:29" ht="15" customHeight="1" thickBot="1">
      <c r="B15" s="214">
        <f t="shared" si="4"/>
        <v>41000</v>
      </c>
      <c r="C15" s="198">
        <f t="shared" si="0"/>
        <v>40969</v>
      </c>
      <c r="D15" s="209">
        <f>IF(B15&lt;'信用保険料計算書（上限2000万）'!$E$15,0,IF(B15&gt;'信用保険料計算書（上限2000万）'!$E$16,0,1))</f>
        <v>0</v>
      </c>
      <c r="E15" s="209">
        <f>IF(D15=1,HLOOKUP(C15,'計算書（第1回）'!$C$123:$U$124,2,TRUE),0)</f>
        <v>0</v>
      </c>
      <c r="F15" s="209">
        <f>IF('信用保険料計算書（上限2000万）'!$G$15="",0,IF($B15&lt;'信用保険料計算書（上限2000万）'!$G$15,0,IF($B15&gt;'信用保険料計算書（上限2000万）'!$G$16,0,1)))</f>
        <v>0</v>
      </c>
      <c r="G15" s="209">
        <f>IF(F15=1,HLOOKUP(C15,'計算書（第2回）'!$C$123:$U$124,2,TRUE),0)</f>
        <v>0</v>
      </c>
      <c r="H15" s="209">
        <f>IF('信用保険料計算書（上限2000万）'!$I$15="",0,IF($B15&lt;'信用保険料計算書（上限2000万）'!$I$15,0,IF($B15&gt;'信用保険料計算書（上限2000万）'!$I$16,0,1)))</f>
        <v>0</v>
      </c>
      <c r="I15" s="209">
        <f>IF(H15=1,HLOOKUP(C15,'計算書（第3回）'!$C$123:$U$124,2,TRUE),0)</f>
        <v>0</v>
      </c>
      <c r="J15" s="209">
        <f>IF('信用保険料計算書（上限2000万）'!$K$15="",0,IF($B15&lt;'信用保険料計算書（上限2000万）'!$K$15,0,IF($B15&gt;'信用保険料計算書（上限2000万）'!$K$16,0,1)))</f>
        <v>0</v>
      </c>
      <c r="K15" s="209">
        <f>IF(J15=1,HLOOKUP(C15,'計算書（第4回）'!$C$123:$U$124,2,TRUE),0)</f>
        <v>0</v>
      </c>
      <c r="L15" s="209">
        <f>IF('信用保険料計算書（上限2000万）'!$M$15="",0,IF($B15&lt;'信用保険料計算書（上限2000万）'!$M$15,0,IF($B15&gt;'信用保険料計算書（上限2000万）'!$M$16,0,1)))</f>
        <v>0</v>
      </c>
      <c r="M15" s="209">
        <f>IF(L15=1,HLOOKUP(C15,'計算書（第5回）'!$C$123:$U$124,2,TRUE),0)</f>
        <v>0</v>
      </c>
      <c r="N15" s="209">
        <f>IF('信用保険料計算書（上限2000万）'!$O$15="",0,IF($B15&lt;'信用保険料計算書（上限2000万）'!$O$15,0,IF($B15&gt;'信用保険料計算書（上限2000万）'!$O$16,0,1)))</f>
        <v>0</v>
      </c>
      <c r="O15" s="209">
        <f>IF(N15=1,HLOOKUP(C15,'計算書（第6回）'!$C$123:$U$124,2,TRUE),0)</f>
        <v>0</v>
      </c>
      <c r="P15" s="209">
        <f>IF('信用保険料計算書（上限2000万）'!$Q$15="",0,IF($B15&lt;'信用保険料計算書（上限2000万）'!$Q$15,0,IF($B15&gt;'信用保険料計算書（上限2000万）'!$Q$16,0,1)))</f>
        <v>0</v>
      </c>
      <c r="Q15" s="209">
        <f>IF(P15=1,HLOOKUP(C15,'計算書（第7回）'!$C$123:$U$124,2,TRUE),0)</f>
        <v>0</v>
      </c>
      <c r="R15" s="210"/>
      <c r="S15" s="211">
        <f>COUNTIF($AB$13:$AB$19,"&lt;=2012/4/1")</f>
        <v>0</v>
      </c>
      <c r="T15" s="178" t="e">
        <f t="shared" si="5"/>
        <v>#NUM!</v>
      </c>
      <c r="U15" s="181">
        <f t="shared" si="1"/>
        <v>0</v>
      </c>
      <c r="V15" s="182">
        <f t="shared" si="2"/>
        <v>0</v>
      </c>
      <c r="W15" s="245">
        <f t="shared" si="3"/>
        <v>0</v>
      </c>
      <c r="X15" s="182"/>
      <c r="Z15" s="165"/>
      <c r="AA15" s="204" t="s">
        <v>131</v>
      </c>
      <c r="AB15" s="205" t="str">
        <f>IF('信用保険料計算書（上限2000万）'!I15="","",'信用保険料計算書（上限2000万）'!I15)</f>
        <v/>
      </c>
      <c r="AC15" s="189"/>
    </row>
    <row r="16" spans="2:29" ht="15" customHeight="1" thickBot="1">
      <c r="B16" s="214">
        <f t="shared" si="4"/>
        <v>41030</v>
      </c>
      <c r="C16" s="198">
        <f t="shared" si="0"/>
        <v>41000</v>
      </c>
      <c r="D16" s="209">
        <f>IF(B16&lt;'信用保険料計算書（上限2000万）'!$E$15,0,IF(B16&gt;'信用保険料計算書（上限2000万）'!$E$16,0,1))</f>
        <v>0</v>
      </c>
      <c r="E16" s="209">
        <f>IF(D16=1,HLOOKUP(C16,'計算書（第1回）'!$C$123:$U$124,2,TRUE),0)</f>
        <v>0</v>
      </c>
      <c r="F16" s="209">
        <f>IF('信用保険料計算書（上限2000万）'!$G$15="",0,IF($B16&lt;'信用保険料計算書（上限2000万）'!$G$15,0,IF($B16&gt;'信用保険料計算書（上限2000万）'!$G$16,0,1)))</f>
        <v>0</v>
      </c>
      <c r="G16" s="209">
        <f>IF(F16=1,HLOOKUP(C16,'計算書（第2回）'!$C$123:$U$124,2,TRUE),0)</f>
        <v>0</v>
      </c>
      <c r="H16" s="209">
        <f>IF('信用保険料計算書（上限2000万）'!$I$15="",0,IF($B16&lt;'信用保険料計算書（上限2000万）'!$I$15,0,IF($B16&gt;'信用保険料計算書（上限2000万）'!$I$16,0,1)))</f>
        <v>0</v>
      </c>
      <c r="I16" s="209">
        <f>IF(H16=1,HLOOKUP(C16,'計算書（第3回）'!$C$123:$U$124,2,TRUE),0)</f>
        <v>0</v>
      </c>
      <c r="J16" s="209">
        <f>IF('信用保険料計算書（上限2000万）'!$K$15="",0,IF($B16&lt;'信用保険料計算書（上限2000万）'!$K$15,0,IF($B16&gt;'信用保険料計算書（上限2000万）'!$K$16,0,1)))</f>
        <v>0</v>
      </c>
      <c r="K16" s="209">
        <f>IF(J16=1,HLOOKUP(C16,'計算書（第4回）'!$C$123:$U$124,2,TRUE),0)</f>
        <v>0</v>
      </c>
      <c r="L16" s="209">
        <f>IF('信用保険料計算書（上限2000万）'!$M$15="",0,IF($B16&lt;'信用保険料計算書（上限2000万）'!$M$15,0,IF($B16&gt;'信用保険料計算書（上限2000万）'!$M$16,0,1)))</f>
        <v>0</v>
      </c>
      <c r="M16" s="209">
        <f>IF(L16=1,HLOOKUP(C16,'計算書（第5回）'!$C$123:$U$124,2,TRUE),0)</f>
        <v>0</v>
      </c>
      <c r="N16" s="209">
        <f>IF('信用保険料計算書（上限2000万）'!$O$15="",0,IF($B16&lt;'信用保険料計算書（上限2000万）'!$O$15,0,IF($B16&gt;'信用保険料計算書（上限2000万）'!$O$16,0,1)))</f>
        <v>0</v>
      </c>
      <c r="O16" s="209">
        <f>IF(N16=1,HLOOKUP(C16,'計算書（第6回）'!$C$123:$U$124,2,TRUE),0)</f>
        <v>0</v>
      </c>
      <c r="P16" s="209">
        <f>IF('信用保険料計算書（上限2000万）'!$Q$15="",0,IF($B16&lt;'信用保険料計算書（上限2000万）'!$Q$15,0,IF($B16&gt;'信用保険料計算書（上限2000万）'!$Q$16,0,1)))</f>
        <v>0</v>
      </c>
      <c r="Q16" s="209">
        <f>IF(P16=1,HLOOKUP(C16,'計算書（第7回）'!$C$123:$U$124,2,TRUE),0)</f>
        <v>0</v>
      </c>
      <c r="R16" s="210"/>
      <c r="S16" s="211">
        <f>COUNTIF($AB$13:$AB$19,"&lt;=2012/5/1")</f>
        <v>0</v>
      </c>
      <c r="T16" s="178" t="e">
        <f t="shared" si="5"/>
        <v>#NUM!</v>
      </c>
      <c r="U16" s="181">
        <f t="shared" si="1"/>
        <v>0</v>
      </c>
      <c r="V16" s="182">
        <f t="shared" si="2"/>
        <v>0</v>
      </c>
      <c r="W16" s="245">
        <f t="shared" si="3"/>
        <v>0</v>
      </c>
      <c r="X16" s="182"/>
      <c r="Z16" s="165"/>
      <c r="AA16" s="204" t="s">
        <v>132</v>
      </c>
      <c r="AB16" s="205" t="str">
        <f>IF('信用保険料計算書（上限2000万）'!K15="","",'信用保険料計算書（上限2000万）'!K15)</f>
        <v/>
      </c>
      <c r="AC16" s="189"/>
    </row>
    <row r="17" spans="2:29" ht="15" customHeight="1" thickBot="1">
      <c r="B17" s="214">
        <f t="shared" si="4"/>
        <v>41061</v>
      </c>
      <c r="C17" s="198">
        <f t="shared" si="0"/>
        <v>41030</v>
      </c>
      <c r="D17" s="209">
        <f>IF(B17&lt;'信用保険料計算書（上限2000万）'!$E$15,0,IF(B17&gt;'信用保険料計算書（上限2000万）'!$E$16,0,1))</f>
        <v>0</v>
      </c>
      <c r="E17" s="209">
        <f>IF(D17=1,HLOOKUP(C17,'計算書（第1回）'!$C$123:$U$124,2,TRUE),0)</f>
        <v>0</v>
      </c>
      <c r="F17" s="209">
        <f>IF('信用保険料計算書（上限2000万）'!$G$15="",0,IF($B17&lt;'信用保険料計算書（上限2000万）'!$G$15,0,IF($B17&gt;'信用保険料計算書（上限2000万）'!$G$16,0,1)))</f>
        <v>0</v>
      </c>
      <c r="G17" s="209">
        <f>IF(F17=1,HLOOKUP(C17,'計算書（第2回）'!$C$123:$U$124,2,TRUE),0)</f>
        <v>0</v>
      </c>
      <c r="H17" s="209">
        <f>IF('信用保険料計算書（上限2000万）'!$I$15="",0,IF($B17&lt;'信用保険料計算書（上限2000万）'!$I$15,0,IF($B17&gt;'信用保険料計算書（上限2000万）'!$I$16,0,1)))</f>
        <v>0</v>
      </c>
      <c r="I17" s="209">
        <f>IF(H17=1,HLOOKUP(C17,'計算書（第3回）'!$C$123:$U$124,2,TRUE),0)</f>
        <v>0</v>
      </c>
      <c r="J17" s="209">
        <f>IF('信用保険料計算書（上限2000万）'!$K$15="",0,IF($B17&lt;'信用保険料計算書（上限2000万）'!$K$15,0,IF($B17&gt;'信用保険料計算書（上限2000万）'!$K$16,0,1)))</f>
        <v>0</v>
      </c>
      <c r="K17" s="209">
        <f>IF(J17=1,HLOOKUP(C17,'計算書（第4回）'!$C$123:$U$124,2,TRUE),0)</f>
        <v>0</v>
      </c>
      <c r="L17" s="209">
        <f>IF('信用保険料計算書（上限2000万）'!$M$15="",0,IF($B17&lt;'信用保険料計算書（上限2000万）'!$M$15,0,IF($B17&gt;'信用保険料計算書（上限2000万）'!$M$16,0,1)))</f>
        <v>0</v>
      </c>
      <c r="M17" s="209">
        <f>IF(L17=1,HLOOKUP(C17,'計算書（第5回）'!$C$123:$U$124,2,TRUE),0)</f>
        <v>0</v>
      </c>
      <c r="N17" s="209">
        <f>IF('信用保険料計算書（上限2000万）'!$O$15="",0,IF($B17&lt;'信用保険料計算書（上限2000万）'!$O$15,0,IF($B17&gt;'信用保険料計算書（上限2000万）'!$O$16,0,1)))</f>
        <v>0</v>
      </c>
      <c r="O17" s="209">
        <f>IF(N17=1,HLOOKUP(C17,'計算書（第6回）'!$C$123:$U$124,2,TRUE),0)</f>
        <v>0</v>
      </c>
      <c r="P17" s="209">
        <f>IF('信用保険料計算書（上限2000万）'!$Q$15="",0,IF($B17&lt;'信用保険料計算書（上限2000万）'!$Q$15,0,IF($B17&gt;'信用保険料計算書（上限2000万）'!$Q$16,0,1)))</f>
        <v>0</v>
      </c>
      <c r="Q17" s="209">
        <f>IF(P17=1,HLOOKUP(C17,'計算書（第7回）'!$C$123:$U$124,2,TRUE),0)</f>
        <v>0</v>
      </c>
      <c r="R17" s="210"/>
      <c r="S17" s="211">
        <f>COUNTIF($AB$13:$AB$19,"&lt;=2012/6/1")</f>
        <v>0</v>
      </c>
      <c r="T17" s="178" t="e">
        <f t="shared" si="5"/>
        <v>#NUM!</v>
      </c>
      <c r="U17" s="181">
        <f t="shared" si="1"/>
        <v>0</v>
      </c>
      <c r="V17" s="182">
        <f t="shared" si="2"/>
        <v>0</v>
      </c>
      <c r="W17" s="245">
        <f t="shared" si="3"/>
        <v>0</v>
      </c>
      <c r="X17" s="182"/>
      <c r="Z17" s="165"/>
      <c r="AA17" s="204" t="s">
        <v>133</v>
      </c>
      <c r="AB17" s="205" t="str">
        <f>IF('信用保険料計算書（上限2000万）'!M15="","",'信用保険料計算書（上限2000万）'!M15)</f>
        <v/>
      </c>
      <c r="AC17" s="189"/>
    </row>
    <row r="18" spans="2:29" ht="15" customHeight="1" thickBot="1">
      <c r="B18" s="214">
        <f t="shared" si="4"/>
        <v>41091</v>
      </c>
      <c r="C18" s="198">
        <f t="shared" si="0"/>
        <v>41061</v>
      </c>
      <c r="D18" s="209">
        <f>IF(B18&lt;'信用保険料計算書（上限2000万）'!$E$15,0,IF(B18&gt;'信用保険料計算書（上限2000万）'!$E$16,0,1))</f>
        <v>0</v>
      </c>
      <c r="E18" s="209">
        <f>IF(D18=1,HLOOKUP(C18,'計算書（第1回）'!$C$123:$U$124,2,TRUE),0)</f>
        <v>0</v>
      </c>
      <c r="F18" s="209">
        <f>IF('信用保険料計算書（上限2000万）'!$G$15="",0,IF($B18&lt;'信用保険料計算書（上限2000万）'!$G$15,0,IF($B18&gt;'信用保険料計算書（上限2000万）'!$G$16,0,1)))</f>
        <v>0</v>
      </c>
      <c r="G18" s="209">
        <f>IF(F18=1,HLOOKUP(C18,'計算書（第2回）'!$C$123:$U$124,2,TRUE),0)</f>
        <v>0</v>
      </c>
      <c r="H18" s="209">
        <f>IF('信用保険料計算書（上限2000万）'!$I$15="",0,IF($B18&lt;'信用保険料計算書（上限2000万）'!$I$15,0,IF($B18&gt;'信用保険料計算書（上限2000万）'!$I$16,0,1)))</f>
        <v>0</v>
      </c>
      <c r="I18" s="209">
        <f>IF(H18=1,HLOOKUP(C18,'計算書（第3回）'!$C$123:$U$124,2,TRUE),0)</f>
        <v>0</v>
      </c>
      <c r="J18" s="209">
        <f>IF('信用保険料計算書（上限2000万）'!$K$15="",0,IF($B18&lt;'信用保険料計算書（上限2000万）'!$K$15,0,IF($B18&gt;'信用保険料計算書（上限2000万）'!$K$16,0,1)))</f>
        <v>0</v>
      </c>
      <c r="K18" s="209">
        <f>IF(J18=1,HLOOKUP(C18,'計算書（第4回）'!$C$123:$U$124,2,TRUE),0)</f>
        <v>0</v>
      </c>
      <c r="L18" s="209">
        <f>IF('信用保険料計算書（上限2000万）'!$M$15="",0,IF($B18&lt;'信用保険料計算書（上限2000万）'!$M$15,0,IF($B18&gt;'信用保険料計算書（上限2000万）'!$M$16,0,1)))</f>
        <v>0</v>
      </c>
      <c r="M18" s="209">
        <f>IF(L18=1,HLOOKUP(C18,'計算書（第5回）'!$C$123:$U$124,2,TRUE),0)</f>
        <v>0</v>
      </c>
      <c r="N18" s="209">
        <f>IF('信用保険料計算書（上限2000万）'!$O$15="",0,IF($B18&lt;'信用保険料計算書（上限2000万）'!$O$15,0,IF($B18&gt;'信用保険料計算書（上限2000万）'!$O$16,0,1)))</f>
        <v>0</v>
      </c>
      <c r="O18" s="209">
        <f>IF(N18=1,HLOOKUP(C18,'計算書（第6回）'!$C$123:$U$124,2,TRUE),0)</f>
        <v>0</v>
      </c>
      <c r="P18" s="209">
        <f>IF('信用保険料計算書（上限2000万）'!$Q$15="",0,IF($B18&lt;'信用保険料計算書（上限2000万）'!$Q$15,0,IF($B18&gt;'信用保険料計算書（上限2000万）'!$Q$16,0,1)))</f>
        <v>0</v>
      </c>
      <c r="Q18" s="209">
        <f>IF(P18=1,HLOOKUP(C18,'計算書（第7回）'!$C$123:$U$124,2,TRUE),0)</f>
        <v>0</v>
      </c>
      <c r="R18" s="210"/>
      <c r="S18" s="211">
        <f>COUNTIF($AB$13:$AB$19,"&lt;=2012/7/1")</f>
        <v>0</v>
      </c>
      <c r="T18" s="178" t="e">
        <f t="shared" si="5"/>
        <v>#NUM!</v>
      </c>
      <c r="U18" s="181">
        <f t="shared" si="1"/>
        <v>0</v>
      </c>
      <c r="V18" s="182">
        <f t="shared" si="2"/>
        <v>0</v>
      </c>
      <c r="W18" s="245">
        <f t="shared" si="3"/>
        <v>0</v>
      </c>
      <c r="X18" s="182"/>
      <c r="Z18" s="165"/>
      <c r="AA18" s="204" t="s">
        <v>134</v>
      </c>
      <c r="AB18" s="205" t="str">
        <f>IF('信用保険料計算書（上限2000万）'!O15="","",'信用保険料計算書（上限2000万）'!O15)</f>
        <v/>
      </c>
      <c r="AC18" s="189"/>
    </row>
    <row r="19" spans="2:29" ht="15" customHeight="1" thickBot="1">
      <c r="B19" s="214">
        <f t="shared" si="4"/>
        <v>41122</v>
      </c>
      <c r="C19" s="198">
        <f t="shared" si="0"/>
        <v>41091</v>
      </c>
      <c r="D19" s="209">
        <f>IF(B19&lt;'信用保険料計算書（上限2000万）'!$E$15,0,IF(B19&gt;'信用保険料計算書（上限2000万）'!$E$16,0,1))</f>
        <v>0</v>
      </c>
      <c r="E19" s="209">
        <f>IF(D19=1,HLOOKUP(C19,'計算書（第1回）'!$C$123:$U$124,2,TRUE),0)</f>
        <v>0</v>
      </c>
      <c r="F19" s="209">
        <f>IF('信用保険料計算書（上限2000万）'!$G$15="",0,IF($B19&lt;'信用保険料計算書（上限2000万）'!$G$15,0,IF($B19&gt;'信用保険料計算書（上限2000万）'!$G$16,0,1)))</f>
        <v>0</v>
      </c>
      <c r="G19" s="209">
        <f>IF(F19=1,HLOOKUP(C19,'計算書（第2回）'!$C$123:$U$124,2,TRUE),0)</f>
        <v>0</v>
      </c>
      <c r="H19" s="209">
        <f>IF('信用保険料計算書（上限2000万）'!$I$15="",0,IF($B19&lt;'信用保険料計算書（上限2000万）'!$I$15,0,IF($B19&gt;'信用保険料計算書（上限2000万）'!$I$16,0,1)))</f>
        <v>0</v>
      </c>
      <c r="I19" s="209">
        <f>IF(H19=1,HLOOKUP(C19,'計算書（第3回）'!$C$123:$U$124,2,TRUE),0)</f>
        <v>0</v>
      </c>
      <c r="J19" s="209">
        <f>IF('信用保険料計算書（上限2000万）'!$K$15="",0,IF($B19&lt;'信用保険料計算書（上限2000万）'!$K$15,0,IF($B19&gt;'信用保険料計算書（上限2000万）'!$K$16,0,1)))</f>
        <v>0</v>
      </c>
      <c r="K19" s="209">
        <f>IF(J19=1,HLOOKUP(C19,'計算書（第4回）'!$C$123:$U$124,2,TRUE),0)</f>
        <v>0</v>
      </c>
      <c r="L19" s="209">
        <f>IF('信用保険料計算書（上限2000万）'!$M$15="",0,IF($B19&lt;'信用保険料計算書（上限2000万）'!$M$15,0,IF($B19&gt;'信用保険料計算書（上限2000万）'!$M$16,0,1)))</f>
        <v>0</v>
      </c>
      <c r="M19" s="209">
        <f>IF(L19=1,HLOOKUP(C19,'計算書（第5回）'!$C$123:$U$124,2,TRUE),0)</f>
        <v>0</v>
      </c>
      <c r="N19" s="209">
        <f>IF('信用保険料計算書（上限2000万）'!$O$15="",0,IF($B19&lt;'信用保険料計算書（上限2000万）'!$O$15,0,IF($B19&gt;'信用保険料計算書（上限2000万）'!$O$16,0,1)))</f>
        <v>0</v>
      </c>
      <c r="O19" s="209">
        <f>IF(N19=1,HLOOKUP(C19,'計算書（第6回）'!$C$123:$U$124,2,TRUE),0)</f>
        <v>0</v>
      </c>
      <c r="P19" s="209">
        <f>IF('信用保険料計算書（上限2000万）'!$Q$15="",0,IF($B19&lt;'信用保険料計算書（上限2000万）'!$Q$15,0,IF($B19&gt;'信用保険料計算書（上限2000万）'!$Q$16,0,1)))</f>
        <v>0</v>
      </c>
      <c r="Q19" s="209">
        <f>IF(P19=1,HLOOKUP(C19,'計算書（第7回）'!$C$123:$U$124,2,TRUE),0)</f>
        <v>0</v>
      </c>
      <c r="R19" s="210"/>
      <c r="S19" s="211">
        <f>COUNTIF($AB$13:$AB$19,"&lt;=2012/8/1")</f>
        <v>0</v>
      </c>
      <c r="T19" s="178" t="e">
        <f t="shared" si="5"/>
        <v>#NUM!</v>
      </c>
      <c r="U19" s="181">
        <f t="shared" si="1"/>
        <v>0</v>
      </c>
      <c r="V19" s="182">
        <f t="shared" si="2"/>
        <v>0</v>
      </c>
      <c r="W19" s="245">
        <f t="shared" si="3"/>
        <v>0</v>
      </c>
      <c r="X19" s="182"/>
      <c r="Z19" s="165"/>
      <c r="AA19" s="204" t="s">
        <v>145</v>
      </c>
      <c r="AB19" s="205" t="str">
        <f>IF('信用保険料計算書（上限2000万）'!Q15="","",'信用保険料計算書（上限2000万）'!Q15)</f>
        <v/>
      </c>
      <c r="AC19" s="189"/>
    </row>
    <row r="20" spans="2:29" ht="15" customHeight="1">
      <c r="B20" s="214">
        <f t="shared" si="4"/>
        <v>41153</v>
      </c>
      <c r="C20" s="198">
        <f t="shared" si="0"/>
        <v>41122</v>
      </c>
      <c r="D20" s="209">
        <f>IF(B20&lt;'信用保険料計算書（上限2000万）'!$E$15,0,IF(B20&gt;'信用保険料計算書（上限2000万）'!$E$16,0,1))</f>
        <v>0</v>
      </c>
      <c r="E20" s="209">
        <f>IF(D20=1,HLOOKUP(C20,'計算書（第1回）'!$C$123:$U$124,2,TRUE),0)</f>
        <v>0</v>
      </c>
      <c r="F20" s="209">
        <f>IF('信用保険料計算書（上限2000万）'!$G$15="",0,IF($B20&lt;'信用保険料計算書（上限2000万）'!$G$15,0,IF($B20&gt;'信用保険料計算書（上限2000万）'!$G$16,0,1)))</f>
        <v>0</v>
      </c>
      <c r="G20" s="209">
        <f>IF(F20=1,HLOOKUP(C20,'計算書（第2回）'!$C$123:$U$124,2,TRUE),0)</f>
        <v>0</v>
      </c>
      <c r="H20" s="209">
        <f>IF('信用保険料計算書（上限2000万）'!$I$15="",0,IF($B20&lt;'信用保険料計算書（上限2000万）'!$I$15,0,IF($B20&gt;'信用保険料計算書（上限2000万）'!$I$16,0,1)))</f>
        <v>0</v>
      </c>
      <c r="I20" s="209">
        <f>IF(H20=1,HLOOKUP(C20,'計算書（第3回）'!$C$123:$U$124,2,TRUE),0)</f>
        <v>0</v>
      </c>
      <c r="J20" s="209">
        <f>IF('信用保険料計算書（上限2000万）'!$K$15="",0,IF($B20&lt;'信用保険料計算書（上限2000万）'!$K$15,0,IF($B20&gt;'信用保険料計算書（上限2000万）'!$K$16,0,1)))</f>
        <v>0</v>
      </c>
      <c r="K20" s="209">
        <f>IF(J20=1,HLOOKUP(C20,'計算書（第4回）'!$C$123:$U$124,2,TRUE),0)</f>
        <v>0</v>
      </c>
      <c r="L20" s="209">
        <f>IF('信用保険料計算書（上限2000万）'!$M$15="",0,IF($B20&lt;'信用保険料計算書（上限2000万）'!$M$15,0,IF($B20&gt;'信用保険料計算書（上限2000万）'!$M$16,0,1)))</f>
        <v>0</v>
      </c>
      <c r="M20" s="209">
        <f>IF(L20=1,HLOOKUP(C20,'計算書（第5回）'!$C$123:$U$124,2,TRUE),0)</f>
        <v>0</v>
      </c>
      <c r="N20" s="209">
        <f>IF('信用保険料計算書（上限2000万）'!$O$15="",0,IF($B20&lt;'信用保険料計算書（上限2000万）'!$O$15,0,IF($B20&gt;'信用保険料計算書（上限2000万）'!$O$16,0,1)))</f>
        <v>0</v>
      </c>
      <c r="O20" s="209">
        <f>IF(N20=1,HLOOKUP(C20,'計算書（第6回）'!$C$123:$U$124,2,TRUE),0)</f>
        <v>0</v>
      </c>
      <c r="P20" s="209">
        <f>IF('信用保険料計算書（上限2000万）'!$Q$15="",0,IF($B20&lt;'信用保険料計算書（上限2000万）'!$Q$15,0,IF($B20&gt;'信用保険料計算書（上限2000万）'!$Q$16,0,1)))</f>
        <v>0</v>
      </c>
      <c r="Q20" s="209">
        <f>IF(P20=1,HLOOKUP(C20,'計算書（第7回）'!$C$123:$U$124,2,TRUE),0)</f>
        <v>0</v>
      </c>
      <c r="R20" s="210"/>
      <c r="S20" s="211">
        <f>COUNTIF($AB$13:$AB$19,"&lt;=2012/9/1")</f>
        <v>0</v>
      </c>
      <c r="T20" s="178" t="e">
        <f t="shared" si="5"/>
        <v>#NUM!</v>
      </c>
      <c r="U20" s="181">
        <f t="shared" si="1"/>
        <v>0</v>
      </c>
      <c r="V20" s="182">
        <f t="shared" si="2"/>
        <v>0</v>
      </c>
      <c r="W20" s="245">
        <f t="shared" si="3"/>
        <v>0</v>
      </c>
      <c r="X20" s="183">
        <f>INT(SUM(W15:W20))</f>
        <v>0</v>
      </c>
    </row>
    <row r="21" spans="2:29" ht="15" customHeight="1">
      <c r="B21" s="214">
        <f t="shared" si="4"/>
        <v>41183</v>
      </c>
      <c r="C21" s="198">
        <f t="shared" si="0"/>
        <v>41153</v>
      </c>
      <c r="D21" s="209">
        <f>IF(B21&lt;'信用保険料計算書（上限2000万）'!$E$15,0,IF(B21&gt;'信用保険料計算書（上限2000万）'!$E$16,0,1))</f>
        <v>0</v>
      </c>
      <c r="E21" s="209">
        <f>IF(D21=1,HLOOKUP(C21,'計算書（第1回）'!$C$123:$U$124,2,TRUE),0)</f>
        <v>0</v>
      </c>
      <c r="F21" s="209">
        <f>IF('信用保険料計算書（上限2000万）'!$G$15="",0,IF($B21&lt;'信用保険料計算書（上限2000万）'!$G$15,0,IF($B21&gt;'信用保険料計算書（上限2000万）'!$G$16,0,1)))</f>
        <v>0</v>
      </c>
      <c r="G21" s="209">
        <f>IF(F21=1,HLOOKUP(C21,'計算書（第2回）'!$C$123:$U$124,2,TRUE),0)</f>
        <v>0</v>
      </c>
      <c r="H21" s="209">
        <f>IF('信用保険料計算書（上限2000万）'!$I$15="",0,IF($B21&lt;'信用保険料計算書（上限2000万）'!$I$15,0,IF($B21&gt;'信用保険料計算書（上限2000万）'!$I$16,0,1)))</f>
        <v>0</v>
      </c>
      <c r="I21" s="209">
        <f>IF(H21=1,HLOOKUP(C21,'計算書（第3回）'!$C$123:$U$124,2,TRUE),0)</f>
        <v>0</v>
      </c>
      <c r="J21" s="209">
        <f>IF('信用保険料計算書（上限2000万）'!$K$15="",0,IF($B21&lt;'信用保険料計算書（上限2000万）'!$K$15,0,IF($B21&gt;'信用保険料計算書（上限2000万）'!$K$16,0,1)))</f>
        <v>0</v>
      </c>
      <c r="K21" s="209">
        <f>IF(J21=1,HLOOKUP(C21,'計算書（第4回）'!$C$123:$U$124,2,TRUE),0)</f>
        <v>0</v>
      </c>
      <c r="L21" s="209">
        <f>IF('信用保険料計算書（上限2000万）'!$M$15="",0,IF($B21&lt;'信用保険料計算書（上限2000万）'!$M$15,0,IF($B21&gt;'信用保険料計算書（上限2000万）'!$M$16,0,1)))</f>
        <v>0</v>
      </c>
      <c r="M21" s="209">
        <f>IF(L21=1,HLOOKUP(C21,'計算書（第5回）'!$C$123:$U$124,2,TRUE),0)</f>
        <v>0</v>
      </c>
      <c r="N21" s="209">
        <f>IF('信用保険料計算書（上限2000万）'!$O$15="",0,IF($B21&lt;'信用保険料計算書（上限2000万）'!$O$15,0,IF($B21&gt;'信用保険料計算書（上限2000万）'!$O$16,0,1)))</f>
        <v>0</v>
      </c>
      <c r="O21" s="209">
        <f>IF(N21=1,HLOOKUP(C21,'計算書（第6回）'!$C$123:$U$124,2,TRUE),0)</f>
        <v>0</v>
      </c>
      <c r="P21" s="209">
        <f>IF('信用保険料計算書（上限2000万）'!$Q$15="",0,IF($B21&lt;'信用保険料計算書（上限2000万）'!$Q$15,0,IF($B21&gt;'信用保険料計算書（上限2000万）'!$Q$16,0,1)))</f>
        <v>0</v>
      </c>
      <c r="Q21" s="209">
        <f>IF(P21=1,HLOOKUP(C21,'計算書（第7回）'!$C$123:$U$124,2,TRUE),0)</f>
        <v>0</v>
      </c>
      <c r="R21" s="210"/>
      <c r="S21" s="211">
        <f>COUNTIF($AB$13:$AB$19,"&lt;=2012/10/1")</f>
        <v>0</v>
      </c>
      <c r="T21" s="178" t="e">
        <f t="shared" si="5"/>
        <v>#NUM!</v>
      </c>
      <c r="U21" s="181">
        <f t="shared" si="1"/>
        <v>0</v>
      </c>
      <c r="V21" s="182">
        <f t="shared" si="2"/>
        <v>0</v>
      </c>
      <c r="W21" s="245">
        <f t="shared" si="3"/>
        <v>0</v>
      </c>
      <c r="X21" s="182"/>
    </row>
    <row r="22" spans="2:29" ht="15" customHeight="1">
      <c r="B22" s="214">
        <f t="shared" si="4"/>
        <v>41214</v>
      </c>
      <c r="C22" s="198">
        <f t="shared" si="0"/>
        <v>41183</v>
      </c>
      <c r="D22" s="209">
        <f>IF(B22&lt;'信用保険料計算書（上限2000万）'!$E$15,0,IF(B22&gt;'信用保険料計算書（上限2000万）'!$E$16,0,1))</f>
        <v>0</v>
      </c>
      <c r="E22" s="209">
        <f>IF(D22=1,HLOOKUP(C22,'計算書（第1回）'!$C$123:$U$124,2,TRUE),0)</f>
        <v>0</v>
      </c>
      <c r="F22" s="209">
        <f>IF('信用保険料計算書（上限2000万）'!$G$15="",0,IF($B22&lt;'信用保険料計算書（上限2000万）'!$G$15,0,IF($B22&gt;'信用保険料計算書（上限2000万）'!$G$16,0,1)))</f>
        <v>0</v>
      </c>
      <c r="G22" s="209">
        <f>IF(F22=1,HLOOKUP(C22,'計算書（第2回）'!$C$123:$U$124,2,TRUE),0)</f>
        <v>0</v>
      </c>
      <c r="H22" s="209">
        <f>IF('信用保険料計算書（上限2000万）'!$I$15="",0,IF($B22&lt;'信用保険料計算書（上限2000万）'!$I$15,0,IF($B22&gt;'信用保険料計算書（上限2000万）'!$I$16,0,1)))</f>
        <v>0</v>
      </c>
      <c r="I22" s="209">
        <f>IF(H22=1,HLOOKUP(C22,'計算書（第3回）'!$C$123:$U$124,2,TRUE),0)</f>
        <v>0</v>
      </c>
      <c r="J22" s="209">
        <f>IF('信用保険料計算書（上限2000万）'!$K$15="",0,IF($B22&lt;'信用保険料計算書（上限2000万）'!$K$15,0,IF($B22&gt;'信用保険料計算書（上限2000万）'!$K$16,0,1)))</f>
        <v>0</v>
      </c>
      <c r="K22" s="209">
        <f>IF(J22=1,HLOOKUP(C22,'計算書（第4回）'!$C$123:$U$124,2,TRUE),0)</f>
        <v>0</v>
      </c>
      <c r="L22" s="209">
        <f>IF('信用保険料計算書（上限2000万）'!$M$15="",0,IF($B22&lt;'信用保険料計算書（上限2000万）'!$M$15,0,IF($B22&gt;'信用保険料計算書（上限2000万）'!$M$16,0,1)))</f>
        <v>0</v>
      </c>
      <c r="M22" s="209">
        <f>IF(L22=1,HLOOKUP(C22,'計算書（第5回）'!$C$123:$U$124,2,TRUE),0)</f>
        <v>0</v>
      </c>
      <c r="N22" s="209">
        <f>IF('信用保険料計算書（上限2000万）'!$O$15="",0,IF($B22&lt;'信用保険料計算書（上限2000万）'!$O$15,0,IF($B22&gt;'信用保険料計算書（上限2000万）'!$O$16,0,1)))</f>
        <v>0</v>
      </c>
      <c r="O22" s="209">
        <f>IF(N22=1,HLOOKUP(C22,'計算書（第6回）'!$C$123:$U$124,2,TRUE),0)</f>
        <v>0</v>
      </c>
      <c r="P22" s="209">
        <f>IF('信用保険料計算書（上限2000万）'!$Q$15="",0,IF($B22&lt;'信用保険料計算書（上限2000万）'!$Q$15,0,IF($B22&gt;'信用保険料計算書（上限2000万）'!$Q$16,0,1)))</f>
        <v>0</v>
      </c>
      <c r="Q22" s="209">
        <f>IF(P22=1,HLOOKUP(C22,'計算書（第7回）'!$C$123:$U$124,2,TRUE),0)</f>
        <v>0</v>
      </c>
      <c r="R22" s="210"/>
      <c r="S22" s="211">
        <f>COUNTIF($AB$13:$AB$19,"&lt;=2012/11/1")</f>
        <v>0</v>
      </c>
      <c r="T22" s="178" t="e">
        <f t="shared" si="5"/>
        <v>#NUM!</v>
      </c>
      <c r="U22" s="181">
        <f t="shared" si="1"/>
        <v>0</v>
      </c>
      <c r="V22" s="182">
        <f t="shared" si="2"/>
        <v>0</v>
      </c>
      <c r="W22" s="245">
        <f t="shared" si="3"/>
        <v>0</v>
      </c>
      <c r="X22" s="182"/>
    </row>
    <row r="23" spans="2:29" ht="15" customHeight="1">
      <c r="B23" s="214">
        <f t="shared" si="4"/>
        <v>41244</v>
      </c>
      <c r="C23" s="198">
        <f t="shared" si="0"/>
        <v>41214</v>
      </c>
      <c r="D23" s="209">
        <f>IF(B23&lt;'信用保険料計算書（上限2000万）'!$E$15,0,IF(B23&gt;'信用保険料計算書（上限2000万）'!$E$16,0,1))</f>
        <v>0</v>
      </c>
      <c r="E23" s="209">
        <f>IF(D23=1,HLOOKUP(C23,'計算書（第1回）'!$C$123:$U$124,2,TRUE),0)</f>
        <v>0</v>
      </c>
      <c r="F23" s="209">
        <f>IF('信用保険料計算書（上限2000万）'!$G$15="",0,IF($B23&lt;'信用保険料計算書（上限2000万）'!$G$15,0,IF($B23&gt;'信用保険料計算書（上限2000万）'!$G$16,0,1)))</f>
        <v>0</v>
      </c>
      <c r="G23" s="209">
        <f>IF(F23=1,HLOOKUP(C23,'計算書（第2回）'!$C$123:$U$124,2,TRUE),0)</f>
        <v>0</v>
      </c>
      <c r="H23" s="209">
        <f>IF('信用保険料計算書（上限2000万）'!$I$15="",0,IF($B23&lt;'信用保険料計算書（上限2000万）'!$I$15,0,IF($B23&gt;'信用保険料計算書（上限2000万）'!$I$16,0,1)))</f>
        <v>0</v>
      </c>
      <c r="I23" s="209">
        <f>IF(H23=1,HLOOKUP(C23,'計算書（第3回）'!$C$123:$U$124,2,TRUE),0)</f>
        <v>0</v>
      </c>
      <c r="J23" s="209">
        <f>IF('信用保険料計算書（上限2000万）'!$K$15="",0,IF($B23&lt;'信用保険料計算書（上限2000万）'!$K$15,0,IF($B23&gt;'信用保険料計算書（上限2000万）'!$K$16,0,1)))</f>
        <v>0</v>
      </c>
      <c r="K23" s="209">
        <f>IF(J23=1,HLOOKUP(C23,'計算書（第4回）'!$C$123:$U$124,2,TRUE),0)</f>
        <v>0</v>
      </c>
      <c r="L23" s="209">
        <f>IF('信用保険料計算書（上限2000万）'!$M$15="",0,IF($B23&lt;'信用保険料計算書（上限2000万）'!$M$15,0,IF($B23&gt;'信用保険料計算書（上限2000万）'!$M$16,0,1)))</f>
        <v>0</v>
      </c>
      <c r="M23" s="209">
        <f>IF(L23=1,HLOOKUP(C23,'計算書（第5回）'!$C$123:$U$124,2,TRUE),0)</f>
        <v>0</v>
      </c>
      <c r="N23" s="209">
        <f>IF('信用保険料計算書（上限2000万）'!$O$15="",0,IF($B23&lt;'信用保険料計算書（上限2000万）'!$O$15,0,IF($B23&gt;'信用保険料計算書（上限2000万）'!$O$16,0,1)))</f>
        <v>0</v>
      </c>
      <c r="O23" s="209">
        <f>IF(N23=1,HLOOKUP(C23,'計算書（第6回）'!$C$123:$U$124,2,TRUE),0)</f>
        <v>0</v>
      </c>
      <c r="P23" s="209">
        <f>IF('信用保険料計算書（上限2000万）'!$Q$15="",0,IF($B23&lt;'信用保険料計算書（上限2000万）'!$Q$15,0,IF($B23&gt;'信用保険料計算書（上限2000万）'!$Q$16,0,1)))</f>
        <v>0</v>
      </c>
      <c r="Q23" s="209">
        <f>IF(P23=1,HLOOKUP(C23,'計算書（第7回）'!$C$123:$U$124,2,TRUE),0)</f>
        <v>0</v>
      </c>
      <c r="R23" s="210"/>
      <c r="S23" s="211">
        <f>COUNTIF($AB$13:$AB$19,"&lt;=2012/12/1")</f>
        <v>0</v>
      </c>
      <c r="T23" s="178" t="e">
        <f t="shared" si="5"/>
        <v>#NUM!</v>
      </c>
      <c r="U23" s="181">
        <f t="shared" si="1"/>
        <v>0</v>
      </c>
      <c r="V23" s="182">
        <f t="shared" si="2"/>
        <v>0</v>
      </c>
      <c r="W23" s="245">
        <f t="shared" si="3"/>
        <v>0</v>
      </c>
      <c r="X23" s="182"/>
    </row>
    <row r="24" spans="2:29" ht="15" customHeight="1">
      <c r="B24" s="214">
        <f t="shared" si="4"/>
        <v>41275</v>
      </c>
      <c r="C24" s="198">
        <f t="shared" si="0"/>
        <v>41244</v>
      </c>
      <c r="D24" s="209">
        <f>IF(B24&lt;'信用保険料計算書（上限2000万）'!$E$15,0,IF(B24&gt;'信用保険料計算書（上限2000万）'!$E$16,0,1))</f>
        <v>0</v>
      </c>
      <c r="E24" s="209">
        <f>IF(D24=1,HLOOKUP(C24,'計算書（第1回）'!$C$123:$U$124,2,TRUE),0)</f>
        <v>0</v>
      </c>
      <c r="F24" s="209">
        <f>IF('信用保険料計算書（上限2000万）'!$G$15="",0,IF($B24&lt;'信用保険料計算書（上限2000万）'!$G$15,0,IF($B24&gt;'信用保険料計算書（上限2000万）'!$G$16,0,1)))</f>
        <v>0</v>
      </c>
      <c r="G24" s="209">
        <f>IF(F24=1,HLOOKUP(C24,'計算書（第2回）'!$C$123:$U$124,2,TRUE),0)</f>
        <v>0</v>
      </c>
      <c r="H24" s="209">
        <f>IF('信用保険料計算書（上限2000万）'!$I$15="",0,IF($B24&lt;'信用保険料計算書（上限2000万）'!$I$15,0,IF($B24&gt;'信用保険料計算書（上限2000万）'!$I$16,0,1)))</f>
        <v>0</v>
      </c>
      <c r="I24" s="209">
        <f>IF(H24=1,HLOOKUP(C24,'計算書（第3回）'!$C$123:$U$124,2,TRUE),0)</f>
        <v>0</v>
      </c>
      <c r="J24" s="209">
        <f>IF('信用保険料計算書（上限2000万）'!$K$15="",0,IF($B24&lt;'信用保険料計算書（上限2000万）'!$K$15,0,IF($B24&gt;'信用保険料計算書（上限2000万）'!$K$16,0,1)))</f>
        <v>0</v>
      </c>
      <c r="K24" s="209">
        <f>IF(J24=1,HLOOKUP(C24,'計算書（第4回）'!$C$123:$U$124,2,TRUE),0)</f>
        <v>0</v>
      </c>
      <c r="L24" s="209">
        <f>IF('信用保険料計算書（上限2000万）'!$M$15="",0,IF($B24&lt;'信用保険料計算書（上限2000万）'!$M$15,0,IF($B24&gt;'信用保険料計算書（上限2000万）'!$M$16,0,1)))</f>
        <v>0</v>
      </c>
      <c r="M24" s="209">
        <f>IF(L24=1,HLOOKUP(C24,'計算書（第5回）'!$C$123:$U$124,2,TRUE),0)</f>
        <v>0</v>
      </c>
      <c r="N24" s="209">
        <f>IF('信用保険料計算書（上限2000万）'!$O$15="",0,IF($B24&lt;'信用保険料計算書（上限2000万）'!$O$15,0,IF($B24&gt;'信用保険料計算書（上限2000万）'!$O$16,0,1)))</f>
        <v>0</v>
      </c>
      <c r="O24" s="209">
        <f>IF(N24=1,HLOOKUP(C24,'計算書（第6回）'!$C$123:$U$124,2,TRUE),0)</f>
        <v>0</v>
      </c>
      <c r="P24" s="209">
        <f>IF('信用保険料計算書（上限2000万）'!$Q$15="",0,IF($B24&lt;'信用保険料計算書（上限2000万）'!$Q$15,0,IF($B24&gt;'信用保険料計算書（上限2000万）'!$Q$16,0,1)))</f>
        <v>0</v>
      </c>
      <c r="Q24" s="209">
        <f>IF(P24=1,HLOOKUP(C24,'計算書（第7回）'!$C$123:$U$124,2,TRUE),0)</f>
        <v>0</v>
      </c>
      <c r="R24" s="210"/>
      <c r="S24" s="211">
        <f>COUNTIF($AB$13:$AB$19,"&lt;=2013/1/1")</f>
        <v>0</v>
      </c>
      <c r="T24" s="178" t="e">
        <f t="shared" si="5"/>
        <v>#NUM!</v>
      </c>
      <c r="U24" s="181">
        <f t="shared" si="1"/>
        <v>0</v>
      </c>
      <c r="V24" s="182">
        <f t="shared" si="2"/>
        <v>0</v>
      </c>
      <c r="W24" s="245">
        <f t="shared" si="3"/>
        <v>0</v>
      </c>
      <c r="X24" s="182"/>
    </row>
    <row r="25" spans="2:29" ht="15" customHeight="1">
      <c r="B25" s="214">
        <f t="shared" si="4"/>
        <v>41306</v>
      </c>
      <c r="C25" s="198">
        <f t="shared" si="0"/>
        <v>41275</v>
      </c>
      <c r="D25" s="209">
        <f>IF(B25&lt;'信用保険料計算書（上限2000万）'!$E$15,0,IF(B25&gt;'信用保険料計算書（上限2000万）'!$E$16,0,1))</f>
        <v>0</v>
      </c>
      <c r="E25" s="209">
        <f>IF(D25=1,HLOOKUP(C25,'計算書（第1回）'!$C$123:$U$124,2,TRUE),0)</f>
        <v>0</v>
      </c>
      <c r="F25" s="209">
        <f>IF('信用保険料計算書（上限2000万）'!$G$15="",0,IF($B25&lt;'信用保険料計算書（上限2000万）'!$G$15,0,IF($B25&gt;'信用保険料計算書（上限2000万）'!$G$16,0,1)))</f>
        <v>0</v>
      </c>
      <c r="G25" s="209">
        <f>IF(F25=1,HLOOKUP(C25,'計算書（第2回）'!$C$123:$U$124,2,TRUE),0)</f>
        <v>0</v>
      </c>
      <c r="H25" s="209">
        <f>IF('信用保険料計算書（上限2000万）'!$I$15="",0,IF($B25&lt;'信用保険料計算書（上限2000万）'!$I$15,0,IF($B25&gt;'信用保険料計算書（上限2000万）'!$I$16,0,1)))</f>
        <v>0</v>
      </c>
      <c r="I25" s="209">
        <f>IF(H25=1,HLOOKUP(C25,'計算書（第3回）'!$C$123:$U$124,2,TRUE),0)</f>
        <v>0</v>
      </c>
      <c r="J25" s="209">
        <f>IF('信用保険料計算書（上限2000万）'!$K$15="",0,IF($B25&lt;'信用保険料計算書（上限2000万）'!$K$15,0,IF($B25&gt;'信用保険料計算書（上限2000万）'!$K$16,0,1)))</f>
        <v>0</v>
      </c>
      <c r="K25" s="209">
        <f>IF(J25=1,HLOOKUP(C25,'計算書（第4回）'!$C$123:$U$124,2,TRUE),0)</f>
        <v>0</v>
      </c>
      <c r="L25" s="209">
        <f>IF('信用保険料計算書（上限2000万）'!$M$15="",0,IF($B25&lt;'信用保険料計算書（上限2000万）'!$M$15,0,IF($B25&gt;'信用保険料計算書（上限2000万）'!$M$16,0,1)))</f>
        <v>0</v>
      </c>
      <c r="M25" s="209">
        <f>IF(L25=1,HLOOKUP(C25,'計算書（第5回）'!$C$123:$U$124,2,TRUE),0)</f>
        <v>0</v>
      </c>
      <c r="N25" s="209">
        <f>IF('信用保険料計算書（上限2000万）'!$O$15="",0,IF($B25&lt;'信用保険料計算書（上限2000万）'!$O$15,0,IF($B25&gt;'信用保険料計算書（上限2000万）'!$O$16,0,1)))</f>
        <v>0</v>
      </c>
      <c r="O25" s="209">
        <f>IF(N25=1,HLOOKUP(C25,'計算書（第6回）'!$C$123:$U$124,2,TRUE),0)</f>
        <v>0</v>
      </c>
      <c r="P25" s="209">
        <f>IF('信用保険料計算書（上限2000万）'!$Q$15="",0,IF($B25&lt;'信用保険料計算書（上限2000万）'!$Q$15,0,IF($B25&gt;'信用保険料計算書（上限2000万）'!$Q$16,0,1)))</f>
        <v>0</v>
      </c>
      <c r="Q25" s="209">
        <f>IF(P25=1,HLOOKUP(C25,'計算書（第7回）'!$C$123:$U$124,2,TRUE),0)</f>
        <v>0</v>
      </c>
      <c r="R25" s="210"/>
      <c r="S25" s="211">
        <f>COUNTIF($AB$13:$AB$19,"&lt;=2013/2/1")</f>
        <v>0</v>
      </c>
      <c r="T25" s="178" t="e">
        <f t="shared" si="5"/>
        <v>#NUM!</v>
      </c>
      <c r="U25" s="181">
        <f t="shared" si="1"/>
        <v>0</v>
      </c>
      <c r="V25" s="182">
        <f t="shared" si="2"/>
        <v>0</v>
      </c>
      <c r="W25" s="245">
        <f t="shared" si="3"/>
        <v>0</v>
      </c>
      <c r="X25" s="182"/>
    </row>
    <row r="26" spans="2:29">
      <c r="B26" s="214">
        <f t="shared" si="4"/>
        <v>41334</v>
      </c>
      <c r="C26" s="198">
        <f t="shared" si="0"/>
        <v>41306</v>
      </c>
      <c r="D26" s="209">
        <f>IF(B26&lt;'信用保険料計算書（上限2000万）'!$E$15,0,IF(B26&gt;'信用保険料計算書（上限2000万）'!$E$16,0,1))</f>
        <v>0</v>
      </c>
      <c r="E26" s="209">
        <f>IF(D26=1,HLOOKUP(C26,'計算書（第1回）'!$C$123:$U$124,2,TRUE),0)</f>
        <v>0</v>
      </c>
      <c r="F26" s="209">
        <f>IF('信用保険料計算書（上限2000万）'!$G$15="",0,IF($B26&lt;'信用保険料計算書（上限2000万）'!$G$15,0,IF($B26&gt;'信用保険料計算書（上限2000万）'!$G$16,0,1)))</f>
        <v>0</v>
      </c>
      <c r="G26" s="209">
        <f>IF(F26=1,HLOOKUP(C26,'計算書（第2回）'!$C$123:$U$124,2,TRUE),0)</f>
        <v>0</v>
      </c>
      <c r="H26" s="209">
        <f>IF('信用保険料計算書（上限2000万）'!$I$15="",0,IF($B26&lt;'信用保険料計算書（上限2000万）'!$I$15,0,IF($B26&gt;'信用保険料計算書（上限2000万）'!$I$16,0,1)))</f>
        <v>0</v>
      </c>
      <c r="I26" s="209">
        <f>IF(H26=1,HLOOKUP(C26,'計算書（第3回）'!$C$123:$U$124,2,TRUE),0)</f>
        <v>0</v>
      </c>
      <c r="J26" s="209">
        <f>IF('信用保険料計算書（上限2000万）'!$K$15="",0,IF($B26&lt;'信用保険料計算書（上限2000万）'!$K$15,0,IF($B26&gt;'信用保険料計算書（上限2000万）'!$K$16,0,1)))</f>
        <v>0</v>
      </c>
      <c r="K26" s="209">
        <f>IF(J26=1,HLOOKUP(C26,'計算書（第4回）'!$C$123:$U$124,2,TRUE),0)</f>
        <v>0</v>
      </c>
      <c r="L26" s="209">
        <f>IF('信用保険料計算書（上限2000万）'!$M$15="",0,IF($B26&lt;'信用保険料計算書（上限2000万）'!$M$15,0,IF($B26&gt;'信用保険料計算書（上限2000万）'!$M$16,0,1)))</f>
        <v>0</v>
      </c>
      <c r="M26" s="209">
        <f>IF(L26=1,HLOOKUP(C26,'計算書（第5回）'!$C$123:$U$124,2,TRUE),0)</f>
        <v>0</v>
      </c>
      <c r="N26" s="209">
        <f>IF('信用保険料計算書（上限2000万）'!$O$15="",0,IF($B26&lt;'信用保険料計算書（上限2000万）'!$O$15,0,IF($B26&gt;'信用保険料計算書（上限2000万）'!$O$16,0,1)))</f>
        <v>0</v>
      </c>
      <c r="O26" s="209">
        <f>IF(N26=1,HLOOKUP(C26,'計算書（第6回）'!$C$123:$U$124,2,TRUE),0)</f>
        <v>0</v>
      </c>
      <c r="P26" s="209">
        <f>IF('信用保険料計算書（上限2000万）'!$Q$15="",0,IF($B26&lt;'信用保険料計算書（上限2000万）'!$Q$15,0,IF($B26&gt;'信用保険料計算書（上限2000万）'!$Q$16,0,1)))</f>
        <v>0</v>
      </c>
      <c r="Q26" s="209">
        <f>IF(P26=1,HLOOKUP(C26,'計算書（第7回）'!$C$123:$U$124,2,TRUE),0)</f>
        <v>0</v>
      </c>
      <c r="R26" s="210"/>
      <c r="S26" s="211">
        <f>COUNTIF($AB$13:$AB$19,"&lt;=2013/3/1")</f>
        <v>0</v>
      </c>
      <c r="T26" s="178" t="e">
        <f t="shared" si="5"/>
        <v>#NUM!</v>
      </c>
      <c r="U26" s="181">
        <f t="shared" si="1"/>
        <v>0</v>
      </c>
      <c r="V26" s="182">
        <f t="shared" si="2"/>
        <v>0</v>
      </c>
      <c r="W26" s="245">
        <f t="shared" si="3"/>
        <v>0</v>
      </c>
      <c r="X26" s="183">
        <f>INT(SUM(W21:W26))</f>
        <v>0</v>
      </c>
    </row>
    <row r="27" spans="2:29">
      <c r="B27" s="214">
        <f t="shared" si="4"/>
        <v>41365</v>
      </c>
      <c r="C27" s="198">
        <f t="shared" si="0"/>
        <v>41334</v>
      </c>
      <c r="D27" s="209">
        <f>IF(B27&lt;'信用保険料計算書（上限2000万）'!$E$15,0,IF(B27&gt;'信用保険料計算書（上限2000万）'!$E$16,0,1))</f>
        <v>0</v>
      </c>
      <c r="E27" s="209">
        <f>IF(D27=1,HLOOKUP(C27,'計算書（第1回）'!$C$123:$U$124,2,TRUE),0)</f>
        <v>0</v>
      </c>
      <c r="F27" s="209">
        <f>IF('信用保険料計算書（上限2000万）'!$G$15="",0,IF($B27&lt;'信用保険料計算書（上限2000万）'!$G$15,0,IF($B27&gt;'信用保険料計算書（上限2000万）'!$G$16,0,1)))</f>
        <v>0</v>
      </c>
      <c r="G27" s="209">
        <f>IF(F27=1,HLOOKUP(C27,'計算書（第2回）'!$C$123:$U$124,2,TRUE),0)</f>
        <v>0</v>
      </c>
      <c r="H27" s="209">
        <f>IF('信用保険料計算書（上限2000万）'!$I$15="",0,IF($B27&lt;'信用保険料計算書（上限2000万）'!$I$15,0,IF($B27&gt;'信用保険料計算書（上限2000万）'!$I$16,0,1)))</f>
        <v>0</v>
      </c>
      <c r="I27" s="209">
        <f>IF(H27=1,HLOOKUP(C27,'計算書（第3回）'!$C$123:$U$124,2,TRUE),0)</f>
        <v>0</v>
      </c>
      <c r="J27" s="209">
        <f>IF('信用保険料計算書（上限2000万）'!$K$15="",0,IF($B27&lt;'信用保険料計算書（上限2000万）'!$K$15,0,IF($B27&gt;'信用保険料計算書（上限2000万）'!$K$16,0,1)))</f>
        <v>0</v>
      </c>
      <c r="K27" s="209">
        <f>IF(J27=1,HLOOKUP(C27,'計算書（第4回）'!$C$123:$U$124,2,TRUE),0)</f>
        <v>0</v>
      </c>
      <c r="L27" s="209">
        <f>IF('信用保険料計算書（上限2000万）'!$M$15="",0,IF($B27&lt;'信用保険料計算書（上限2000万）'!$M$15,0,IF($B27&gt;'信用保険料計算書（上限2000万）'!$M$16,0,1)))</f>
        <v>0</v>
      </c>
      <c r="M27" s="209">
        <f>IF(L27=1,HLOOKUP(C27,'計算書（第5回）'!$C$123:$U$124,2,TRUE),0)</f>
        <v>0</v>
      </c>
      <c r="N27" s="209">
        <f>IF('信用保険料計算書（上限2000万）'!$O$15="",0,IF($B27&lt;'信用保険料計算書（上限2000万）'!$O$15,0,IF($B27&gt;'信用保険料計算書（上限2000万）'!$O$16,0,1)))</f>
        <v>0</v>
      </c>
      <c r="O27" s="209">
        <f>IF(N27=1,HLOOKUP(C27,'計算書（第6回）'!$C$123:$U$124,2,TRUE),0)</f>
        <v>0</v>
      </c>
      <c r="P27" s="209">
        <f>IF('信用保険料計算書（上限2000万）'!$Q$15="",0,IF($B27&lt;'信用保険料計算書（上限2000万）'!$Q$15,0,IF($B27&gt;'信用保険料計算書（上限2000万）'!$Q$16,0,1)))</f>
        <v>0</v>
      </c>
      <c r="Q27" s="209">
        <f>IF(P27=1,HLOOKUP(C27,'計算書（第7回）'!$C$123:$U$124,2,TRUE),0)</f>
        <v>0</v>
      </c>
      <c r="R27" s="210"/>
      <c r="S27" s="211">
        <f>COUNTIF($AB$13:$AB$19,"&lt;=2013/4/1")</f>
        <v>0</v>
      </c>
      <c r="T27" s="178" t="e">
        <f t="shared" si="5"/>
        <v>#NUM!</v>
      </c>
      <c r="U27" s="181">
        <f t="shared" si="1"/>
        <v>0</v>
      </c>
      <c r="V27" s="182">
        <f t="shared" si="2"/>
        <v>0</v>
      </c>
      <c r="W27" s="245">
        <f t="shared" si="3"/>
        <v>0</v>
      </c>
      <c r="X27" s="182"/>
    </row>
    <row r="28" spans="2:29">
      <c r="B28" s="214">
        <f t="shared" si="4"/>
        <v>41395</v>
      </c>
      <c r="C28" s="198">
        <f t="shared" si="0"/>
        <v>41365</v>
      </c>
      <c r="D28" s="209">
        <f>IF(B28&lt;'信用保険料計算書（上限2000万）'!$E$15,0,IF(B28&gt;'信用保険料計算書（上限2000万）'!$E$16,0,1))</f>
        <v>0</v>
      </c>
      <c r="E28" s="209">
        <f>IF(D28=1,HLOOKUP(C28,'計算書（第1回）'!$C$123:$U$124,2,TRUE),0)</f>
        <v>0</v>
      </c>
      <c r="F28" s="209">
        <f>IF('信用保険料計算書（上限2000万）'!$G$15="",0,IF($B28&lt;'信用保険料計算書（上限2000万）'!$G$15,0,IF($B28&gt;'信用保険料計算書（上限2000万）'!$G$16,0,1)))</f>
        <v>0</v>
      </c>
      <c r="G28" s="209">
        <f>IF(F28=1,HLOOKUP(C28,'計算書（第2回）'!$C$123:$U$124,2,TRUE),0)</f>
        <v>0</v>
      </c>
      <c r="H28" s="209">
        <f>IF('信用保険料計算書（上限2000万）'!$I$15="",0,IF($B28&lt;'信用保険料計算書（上限2000万）'!$I$15,0,IF($B28&gt;'信用保険料計算書（上限2000万）'!$I$16,0,1)))</f>
        <v>0</v>
      </c>
      <c r="I28" s="209">
        <f>IF(H28=1,HLOOKUP(C28,'計算書（第3回）'!$C$123:$U$124,2,TRUE),0)</f>
        <v>0</v>
      </c>
      <c r="J28" s="209">
        <f>IF('信用保険料計算書（上限2000万）'!$K$15="",0,IF($B28&lt;'信用保険料計算書（上限2000万）'!$K$15,0,IF($B28&gt;'信用保険料計算書（上限2000万）'!$K$16,0,1)))</f>
        <v>0</v>
      </c>
      <c r="K28" s="209">
        <f>IF(J28=1,HLOOKUP(C28,'計算書（第4回）'!$C$123:$U$124,2,TRUE),0)</f>
        <v>0</v>
      </c>
      <c r="L28" s="209">
        <f>IF('信用保険料計算書（上限2000万）'!$M$15="",0,IF($B28&lt;'信用保険料計算書（上限2000万）'!$M$15,0,IF($B28&gt;'信用保険料計算書（上限2000万）'!$M$16,0,1)))</f>
        <v>0</v>
      </c>
      <c r="M28" s="209">
        <f>IF(L28=1,HLOOKUP(C28,'計算書（第5回）'!$C$123:$U$124,2,TRUE),0)</f>
        <v>0</v>
      </c>
      <c r="N28" s="209">
        <f>IF('信用保険料計算書（上限2000万）'!$O$15="",0,IF($B28&lt;'信用保険料計算書（上限2000万）'!$O$15,0,IF($B28&gt;'信用保険料計算書（上限2000万）'!$O$16,0,1)))</f>
        <v>0</v>
      </c>
      <c r="O28" s="209">
        <f>IF(N28=1,HLOOKUP(C28,'計算書（第6回）'!$C$123:$U$124,2,TRUE),0)</f>
        <v>0</v>
      </c>
      <c r="P28" s="209">
        <f>IF('信用保険料計算書（上限2000万）'!$Q$15="",0,IF($B28&lt;'信用保険料計算書（上限2000万）'!$Q$15,0,IF($B28&gt;'信用保険料計算書（上限2000万）'!$Q$16,0,1)))</f>
        <v>0</v>
      </c>
      <c r="Q28" s="209">
        <f>IF(P28=1,HLOOKUP(C28,'計算書（第7回）'!$C$123:$U$124,2,TRUE),0)</f>
        <v>0</v>
      </c>
      <c r="R28" s="210"/>
      <c r="S28" s="211">
        <f>COUNTIF($AB$13:$AB$19,"&lt;=2013/5/1")</f>
        <v>0</v>
      </c>
      <c r="T28" s="178" t="e">
        <f t="shared" si="5"/>
        <v>#NUM!</v>
      </c>
      <c r="U28" s="181">
        <f t="shared" si="1"/>
        <v>0</v>
      </c>
      <c r="V28" s="182">
        <f t="shared" si="2"/>
        <v>0</v>
      </c>
      <c r="W28" s="245">
        <f t="shared" si="3"/>
        <v>0</v>
      </c>
      <c r="X28" s="182"/>
    </row>
    <row r="29" spans="2:29">
      <c r="B29" s="214">
        <f t="shared" si="4"/>
        <v>41426</v>
      </c>
      <c r="C29" s="198">
        <f t="shared" si="0"/>
        <v>41395</v>
      </c>
      <c r="D29" s="209">
        <f>IF(B29&lt;'信用保険料計算書（上限2000万）'!$E$15,0,IF(B29&gt;'信用保険料計算書（上限2000万）'!$E$16,0,1))</f>
        <v>0</v>
      </c>
      <c r="E29" s="209">
        <f>IF(D29=1,HLOOKUP(C29,'計算書（第1回）'!$C$123:$U$124,2,TRUE),0)</f>
        <v>0</v>
      </c>
      <c r="F29" s="209">
        <f>IF('信用保険料計算書（上限2000万）'!$G$15="",0,IF($B29&lt;'信用保険料計算書（上限2000万）'!$G$15,0,IF($B29&gt;'信用保険料計算書（上限2000万）'!$G$16,0,1)))</f>
        <v>0</v>
      </c>
      <c r="G29" s="209">
        <f>IF(F29=1,HLOOKUP(C29,'計算書（第2回）'!$C$123:$U$124,2,TRUE),0)</f>
        <v>0</v>
      </c>
      <c r="H29" s="209">
        <f>IF('信用保険料計算書（上限2000万）'!$I$15="",0,IF($B29&lt;'信用保険料計算書（上限2000万）'!$I$15,0,IF($B29&gt;'信用保険料計算書（上限2000万）'!$I$16,0,1)))</f>
        <v>0</v>
      </c>
      <c r="I29" s="209">
        <f>IF(H29=1,HLOOKUP(C29,'計算書（第3回）'!$C$123:$U$124,2,TRUE),0)</f>
        <v>0</v>
      </c>
      <c r="J29" s="209">
        <f>IF('信用保険料計算書（上限2000万）'!$K$15="",0,IF($B29&lt;'信用保険料計算書（上限2000万）'!$K$15,0,IF($B29&gt;'信用保険料計算書（上限2000万）'!$K$16,0,1)))</f>
        <v>0</v>
      </c>
      <c r="K29" s="209">
        <f>IF(J29=1,HLOOKUP(C29,'計算書（第4回）'!$C$123:$U$124,2,TRUE),0)</f>
        <v>0</v>
      </c>
      <c r="L29" s="209">
        <f>IF('信用保険料計算書（上限2000万）'!$M$15="",0,IF($B29&lt;'信用保険料計算書（上限2000万）'!$M$15,0,IF($B29&gt;'信用保険料計算書（上限2000万）'!$M$16,0,1)))</f>
        <v>0</v>
      </c>
      <c r="M29" s="209">
        <f>IF(L29=1,HLOOKUP(C29,'計算書（第5回）'!$C$123:$U$124,2,TRUE),0)</f>
        <v>0</v>
      </c>
      <c r="N29" s="209">
        <f>IF('信用保険料計算書（上限2000万）'!$O$15="",0,IF($B29&lt;'信用保険料計算書（上限2000万）'!$O$15,0,IF($B29&gt;'信用保険料計算書（上限2000万）'!$O$16,0,1)))</f>
        <v>0</v>
      </c>
      <c r="O29" s="209">
        <f>IF(N29=1,HLOOKUP(C29,'計算書（第6回）'!$C$123:$U$124,2,TRUE),0)</f>
        <v>0</v>
      </c>
      <c r="P29" s="209">
        <f>IF('信用保険料計算書（上限2000万）'!$Q$15="",0,IF($B29&lt;'信用保険料計算書（上限2000万）'!$Q$15,0,IF($B29&gt;'信用保険料計算書（上限2000万）'!$Q$16,0,1)))</f>
        <v>0</v>
      </c>
      <c r="Q29" s="209">
        <f>IF(P29=1,HLOOKUP(C29,'計算書（第7回）'!$C$123:$U$124,2,TRUE),0)</f>
        <v>0</v>
      </c>
      <c r="R29" s="210"/>
      <c r="S29" s="211">
        <f>COUNTIF($AB$13:$AB$19,"&lt;=2013/6/1")</f>
        <v>0</v>
      </c>
      <c r="T29" s="178" t="e">
        <f t="shared" si="5"/>
        <v>#NUM!</v>
      </c>
      <c r="U29" s="181">
        <f t="shared" si="1"/>
        <v>0</v>
      </c>
      <c r="V29" s="182">
        <f t="shared" si="2"/>
        <v>0</v>
      </c>
      <c r="W29" s="245">
        <f t="shared" si="3"/>
        <v>0</v>
      </c>
      <c r="X29" s="182"/>
    </row>
    <row r="30" spans="2:29">
      <c r="B30" s="214">
        <f t="shared" si="4"/>
        <v>41456</v>
      </c>
      <c r="C30" s="198">
        <f t="shared" si="0"/>
        <v>41426</v>
      </c>
      <c r="D30" s="209">
        <f>IF(B30&lt;'信用保険料計算書（上限2000万）'!$E$15,0,IF(B30&gt;'信用保険料計算書（上限2000万）'!$E$16,0,1))</f>
        <v>0</v>
      </c>
      <c r="E30" s="209">
        <f>IF(D30=1,HLOOKUP(C30,'計算書（第1回）'!$C$123:$U$124,2,TRUE),0)</f>
        <v>0</v>
      </c>
      <c r="F30" s="209">
        <f>IF('信用保険料計算書（上限2000万）'!$G$15="",0,IF($B30&lt;'信用保険料計算書（上限2000万）'!$G$15,0,IF($B30&gt;'信用保険料計算書（上限2000万）'!$G$16,0,1)))</f>
        <v>0</v>
      </c>
      <c r="G30" s="209">
        <f>IF(F30=1,HLOOKUP(C30,'計算書（第2回）'!$C$123:$U$124,2,TRUE),0)</f>
        <v>0</v>
      </c>
      <c r="H30" s="209">
        <f>IF('信用保険料計算書（上限2000万）'!$I$15="",0,IF($B30&lt;'信用保険料計算書（上限2000万）'!$I$15,0,IF($B30&gt;'信用保険料計算書（上限2000万）'!$I$16,0,1)))</f>
        <v>0</v>
      </c>
      <c r="I30" s="209">
        <f>IF(H30=1,HLOOKUP(C30,'計算書（第3回）'!$C$123:$U$124,2,TRUE),0)</f>
        <v>0</v>
      </c>
      <c r="J30" s="209">
        <f>IF('信用保険料計算書（上限2000万）'!$K$15="",0,IF($B30&lt;'信用保険料計算書（上限2000万）'!$K$15,0,IF($B30&gt;'信用保険料計算書（上限2000万）'!$K$16,0,1)))</f>
        <v>0</v>
      </c>
      <c r="K30" s="209">
        <f>IF(J30=1,HLOOKUP(C30,'計算書（第4回）'!$C$123:$U$124,2,TRUE),0)</f>
        <v>0</v>
      </c>
      <c r="L30" s="209">
        <f>IF('信用保険料計算書（上限2000万）'!$M$15="",0,IF($B30&lt;'信用保険料計算書（上限2000万）'!$M$15,0,IF($B30&gt;'信用保険料計算書（上限2000万）'!$M$16,0,1)))</f>
        <v>0</v>
      </c>
      <c r="M30" s="209">
        <f>IF(L30=1,HLOOKUP(C30,'計算書（第5回）'!$C$123:$U$124,2,TRUE),0)</f>
        <v>0</v>
      </c>
      <c r="N30" s="209">
        <f>IF('信用保険料計算書（上限2000万）'!$O$15="",0,IF($B30&lt;'信用保険料計算書（上限2000万）'!$O$15,0,IF($B30&gt;'信用保険料計算書（上限2000万）'!$O$16,0,1)))</f>
        <v>0</v>
      </c>
      <c r="O30" s="209">
        <f>IF(N30=1,HLOOKUP(C30,'計算書（第6回）'!$C$123:$U$124,2,TRUE),0)</f>
        <v>0</v>
      </c>
      <c r="P30" s="209">
        <f>IF('信用保険料計算書（上限2000万）'!$Q$15="",0,IF($B30&lt;'信用保険料計算書（上限2000万）'!$Q$15,0,IF($B30&gt;'信用保険料計算書（上限2000万）'!$Q$16,0,1)))</f>
        <v>0</v>
      </c>
      <c r="Q30" s="209">
        <f>IF(P30=1,HLOOKUP(C30,'計算書（第7回）'!$C$123:$U$124,2,TRUE),0)</f>
        <v>0</v>
      </c>
      <c r="R30" s="210"/>
      <c r="S30" s="211">
        <f>COUNTIF($AB$13:$AB$19,"&lt;=2013/7/1")</f>
        <v>0</v>
      </c>
      <c r="T30" s="178" t="e">
        <f t="shared" si="5"/>
        <v>#NUM!</v>
      </c>
      <c r="U30" s="181">
        <f t="shared" si="1"/>
        <v>0</v>
      </c>
      <c r="V30" s="182">
        <f t="shared" si="2"/>
        <v>0</v>
      </c>
      <c r="W30" s="245">
        <f t="shared" si="3"/>
        <v>0</v>
      </c>
      <c r="X30" s="182"/>
    </row>
    <row r="31" spans="2:29">
      <c r="B31" s="214">
        <f t="shared" si="4"/>
        <v>41487</v>
      </c>
      <c r="C31" s="198">
        <f t="shared" si="0"/>
        <v>41456</v>
      </c>
      <c r="D31" s="209">
        <f>IF(B31&lt;'信用保険料計算書（上限2000万）'!$E$15,0,IF(B31&gt;'信用保険料計算書（上限2000万）'!$E$16,0,1))</f>
        <v>0</v>
      </c>
      <c r="E31" s="209">
        <f>IF(D31=1,HLOOKUP(C31,'計算書（第1回）'!$C$123:$U$124,2,TRUE),0)</f>
        <v>0</v>
      </c>
      <c r="F31" s="209">
        <f>IF('信用保険料計算書（上限2000万）'!$G$15="",0,IF($B31&lt;'信用保険料計算書（上限2000万）'!$G$15,0,IF($B31&gt;'信用保険料計算書（上限2000万）'!$G$16,0,1)))</f>
        <v>0</v>
      </c>
      <c r="G31" s="209">
        <f>IF(F31=1,HLOOKUP(C31,'計算書（第2回）'!$C$123:$U$124,2,TRUE),0)</f>
        <v>0</v>
      </c>
      <c r="H31" s="209">
        <f>IF('信用保険料計算書（上限2000万）'!$I$15="",0,IF($B31&lt;'信用保険料計算書（上限2000万）'!$I$15,0,IF($B31&gt;'信用保険料計算書（上限2000万）'!$I$16,0,1)))</f>
        <v>0</v>
      </c>
      <c r="I31" s="209">
        <f>IF(H31=1,HLOOKUP(C31,'計算書（第3回）'!$C$123:$U$124,2,TRUE),0)</f>
        <v>0</v>
      </c>
      <c r="J31" s="209">
        <f>IF('信用保険料計算書（上限2000万）'!$K$15="",0,IF($B31&lt;'信用保険料計算書（上限2000万）'!$K$15,0,IF($B31&gt;'信用保険料計算書（上限2000万）'!$K$16,0,1)))</f>
        <v>0</v>
      </c>
      <c r="K31" s="209">
        <f>IF(J31=1,HLOOKUP(C31,'計算書（第4回）'!$C$123:$U$124,2,TRUE),0)</f>
        <v>0</v>
      </c>
      <c r="L31" s="209">
        <f>IF('信用保険料計算書（上限2000万）'!$M$15="",0,IF($B31&lt;'信用保険料計算書（上限2000万）'!$M$15,0,IF($B31&gt;'信用保険料計算書（上限2000万）'!$M$16,0,1)))</f>
        <v>0</v>
      </c>
      <c r="M31" s="209">
        <f>IF(L31=1,HLOOKUP(C31,'計算書（第5回）'!$C$123:$U$124,2,TRUE),0)</f>
        <v>0</v>
      </c>
      <c r="N31" s="209">
        <f>IF('信用保険料計算書（上限2000万）'!$O$15="",0,IF($B31&lt;'信用保険料計算書（上限2000万）'!$O$15,0,IF($B31&gt;'信用保険料計算書（上限2000万）'!$O$16,0,1)))</f>
        <v>0</v>
      </c>
      <c r="O31" s="209">
        <f>IF(N31=1,HLOOKUP(C31,'計算書（第6回）'!$C$123:$U$124,2,TRUE),0)</f>
        <v>0</v>
      </c>
      <c r="P31" s="209">
        <f>IF('信用保険料計算書（上限2000万）'!$Q$15="",0,IF($B31&lt;'信用保険料計算書（上限2000万）'!$Q$15,0,IF($B31&gt;'信用保険料計算書（上限2000万）'!$Q$16,0,1)))</f>
        <v>0</v>
      </c>
      <c r="Q31" s="209">
        <f>IF(P31=1,HLOOKUP(C31,'計算書（第7回）'!$C$123:$U$124,2,TRUE),0)</f>
        <v>0</v>
      </c>
      <c r="R31" s="210"/>
      <c r="S31" s="211">
        <f>COUNTIF($AB$13:$AB$19,"&lt;=2013/8/1")</f>
        <v>0</v>
      </c>
      <c r="T31" s="178" t="e">
        <f t="shared" si="5"/>
        <v>#NUM!</v>
      </c>
      <c r="U31" s="181">
        <f t="shared" si="1"/>
        <v>0</v>
      </c>
      <c r="V31" s="182">
        <f t="shared" si="2"/>
        <v>0</v>
      </c>
      <c r="W31" s="245">
        <f t="shared" si="3"/>
        <v>0</v>
      </c>
      <c r="X31" s="182"/>
    </row>
    <row r="32" spans="2:29">
      <c r="B32" s="214">
        <f t="shared" si="4"/>
        <v>41518</v>
      </c>
      <c r="C32" s="198">
        <f t="shared" si="0"/>
        <v>41487</v>
      </c>
      <c r="D32" s="209">
        <f>IF(B32&lt;'信用保険料計算書（上限2000万）'!$E$15,0,IF(B32&gt;'信用保険料計算書（上限2000万）'!$E$16,0,1))</f>
        <v>0</v>
      </c>
      <c r="E32" s="209">
        <f>IF(D32=1,HLOOKUP(C32,'計算書（第1回）'!$C$123:$U$124,2,TRUE),0)</f>
        <v>0</v>
      </c>
      <c r="F32" s="209">
        <f>IF('信用保険料計算書（上限2000万）'!$G$15="",0,IF($B32&lt;'信用保険料計算書（上限2000万）'!$G$15,0,IF($B32&gt;'信用保険料計算書（上限2000万）'!$G$16,0,1)))</f>
        <v>0</v>
      </c>
      <c r="G32" s="209">
        <f>IF(F32=1,HLOOKUP(C32,'計算書（第2回）'!$C$123:$U$124,2,TRUE),0)</f>
        <v>0</v>
      </c>
      <c r="H32" s="209">
        <f>IF('信用保険料計算書（上限2000万）'!$I$15="",0,IF($B32&lt;'信用保険料計算書（上限2000万）'!$I$15,0,IF($B32&gt;'信用保険料計算書（上限2000万）'!$I$16,0,1)))</f>
        <v>0</v>
      </c>
      <c r="I32" s="209">
        <f>IF(H32=1,HLOOKUP(C32,'計算書（第3回）'!$C$123:$U$124,2,TRUE),0)</f>
        <v>0</v>
      </c>
      <c r="J32" s="209">
        <f>IF('信用保険料計算書（上限2000万）'!$K$15="",0,IF($B32&lt;'信用保険料計算書（上限2000万）'!$K$15,0,IF($B32&gt;'信用保険料計算書（上限2000万）'!$K$16,0,1)))</f>
        <v>0</v>
      </c>
      <c r="K32" s="209">
        <f>IF(J32=1,HLOOKUP(C32,'計算書（第4回）'!$C$123:$U$124,2,TRUE),0)</f>
        <v>0</v>
      </c>
      <c r="L32" s="209">
        <f>IF('信用保険料計算書（上限2000万）'!$M$15="",0,IF($B32&lt;'信用保険料計算書（上限2000万）'!$M$15,0,IF($B32&gt;'信用保険料計算書（上限2000万）'!$M$16,0,1)))</f>
        <v>0</v>
      </c>
      <c r="M32" s="209">
        <f>IF(L32=1,HLOOKUP(C32,'計算書（第5回）'!$C$123:$U$124,2,TRUE),0)</f>
        <v>0</v>
      </c>
      <c r="N32" s="209">
        <f>IF('信用保険料計算書（上限2000万）'!$O$15="",0,IF($B32&lt;'信用保険料計算書（上限2000万）'!$O$15,0,IF($B32&gt;'信用保険料計算書（上限2000万）'!$O$16,0,1)))</f>
        <v>0</v>
      </c>
      <c r="O32" s="209">
        <f>IF(N32=1,HLOOKUP(C32,'計算書（第6回）'!$C$123:$U$124,2,TRUE),0)</f>
        <v>0</v>
      </c>
      <c r="P32" s="209">
        <f>IF('信用保険料計算書（上限2000万）'!$Q$15="",0,IF($B32&lt;'信用保険料計算書（上限2000万）'!$Q$15,0,IF($B32&gt;'信用保険料計算書（上限2000万）'!$Q$16,0,1)))</f>
        <v>0</v>
      </c>
      <c r="Q32" s="209">
        <f>IF(P32=1,HLOOKUP(C32,'計算書（第7回）'!$C$123:$U$124,2,TRUE),0)</f>
        <v>0</v>
      </c>
      <c r="R32" s="210"/>
      <c r="S32" s="211">
        <f>COUNTIF($AB$13:$AB$19,"&lt;=2013/9/1")</f>
        <v>0</v>
      </c>
      <c r="T32" s="178" t="e">
        <f t="shared" si="5"/>
        <v>#NUM!</v>
      </c>
      <c r="U32" s="181">
        <f t="shared" si="1"/>
        <v>0</v>
      </c>
      <c r="V32" s="182">
        <f t="shared" si="2"/>
        <v>0</v>
      </c>
      <c r="W32" s="245">
        <f t="shared" si="3"/>
        <v>0</v>
      </c>
      <c r="X32" s="183">
        <f>INT(SUM(W27:W32))</f>
        <v>0</v>
      </c>
    </row>
    <row r="33" spans="2:24">
      <c r="B33" s="214">
        <f t="shared" si="4"/>
        <v>41548</v>
      </c>
      <c r="C33" s="198">
        <f t="shared" si="0"/>
        <v>41518</v>
      </c>
      <c r="D33" s="209">
        <f>IF(B33&lt;'信用保険料計算書（上限2000万）'!$E$15,0,IF(B33&gt;'信用保険料計算書（上限2000万）'!$E$16,0,1))</f>
        <v>0</v>
      </c>
      <c r="E33" s="209">
        <f>IF(D33=1,HLOOKUP(C33,'計算書（第1回）'!$C$123:$U$124,2,TRUE),0)</f>
        <v>0</v>
      </c>
      <c r="F33" s="209">
        <f>IF('信用保険料計算書（上限2000万）'!$G$15="",0,IF($B33&lt;'信用保険料計算書（上限2000万）'!$G$15,0,IF($B33&gt;'信用保険料計算書（上限2000万）'!$G$16,0,1)))</f>
        <v>0</v>
      </c>
      <c r="G33" s="209">
        <f>IF(F33=1,HLOOKUP(C33,'計算書（第2回）'!$C$123:$U$124,2,TRUE),0)</f>
        <v>0</v>
      </c>
      <c r="H33" s="209">
        <f>IF('信用保険料計算書（上限2000万）'!$I$15="",0,IF($B33&lt;'信用保険料計算書（上限2000万）'!$I$15,0,IF($B33&gt;'信用保険料計算書（上限2000万）'!$I$16,0,1)))</f>
        <v>0</v>
      </c>
      <c r="I33" s="209">
        <f>IF(H33=1,HLOOKUP(C33,'計算書（第3回）'!$C$123:$U$124,2,TRUE),0)</f>
        <v>0</v>
      </c>
      <c r="J33" s="209">
        <f>IF('信用保険料計算書（上限2000万）'!$K$15="",0,IF($B33&lt;'信用保険料計算書（上限2000万）'!$K$15,0,IF($B33&gt;'信用保険料計算書（上限2000万）'!$K$16,0,1)))</f>
        <v>0</v>
      </c>
      <c r="K33" s="209">
        <f>IF(J33=1,HLOOKUP(C33,'計算書（第4回）'!$C$123:$U$124,2,TRUE),0)</f>
        <v>0</v>
      </c>
      <c r="L33" s="209">
        <f>IF('信用保険料計算書（上限2000万）'!$M$15="",0,IF($B33&lt;'信用保険料計算書（上限2000万）'!$M$15,0,IF($B33&gt;'信用保険料計算書（上限2000万）'!$M$16,0,1)))</f>
        <v>0</v>
      </c>
      <c r="M33" s="209">
        <f>IF(L33=1,HLOOKUP(C33,'計算書（第5回）'!$C$123:$U$124,2,TRUE),0)</f>
        <v>0</v>
      </c>
      <c r="N33" s="209">
        <f>IF('信用保険料計算書（上限2000万）'!$O$15="",0,IF($B33&lt;'信用保険料計算書（上限2000万）'!$O$15,0,IF($B33&gt;'信用保険料計算書（上限2000万）'!$O$16,0,1)))</f>
        <v>0</v>
      </c>
      <c r="O33" s="209">
        <f>IF(N33=1,HLOOKUP(C33,'計算書（第6回）'!$C$123:$U$124,2,TRUE),0)</f>
        <v>0</v>
      </c>
      <c r="P33" s="209">
        <f>IF('信用保険料計算書（上限2000万）'!$Q$15="",0,IF($B33&lt;'信用保険料計算書（上限2000万）'!$Q$15,0,IF($B33&gt;'信用保険料計算書（上限2000万）'!$Q$16,0,1)))</f>
        <v>0</v>
      </c>
      <c r="Q33" s="209">
        <f>IF(P33=1,HLOOKUP(C33,'計算書（第7回）'!$C$123:$U$124,2,TRUE),0)</f>
        <v>0</v>
      </c>
      <c r="R33" s="210"/>
      <c r="S33" s="211">
        <f>COUNTIF($AB$13:$AB$19,"&lt;=2013/10/1")</f>
        <v>0</v>
      </c>
      <c r="T33" s="178" t="e">
        <f t="shared" si="5"/>
        <v>#NUM!</v>
      </c>
      <c r="U33" s="181">
        <f t="shared" si="1"/>
        <v>0</v>
      </c>
      <c r="V33" s="182">
        <f t="shared" si="2"/>
        <v>0</v>
      </c>
      <c r="W33" s="245">
        <f t="shared" si="3"/>
        <v>0</v>
      </c>
      <c r="X33" s="182"/>
    </row>
    <row r="34" spans="2:24">
      <c r="B34" s="214">
        <f t="shared" si="4"/>
        <v>41579</v>
      </c>
      <c r="C34" s="198">
        <f t="shared" si="0"/>
        <v>41548</v>
      </c>
      <c r="D34" s="209">
        <f>IF(B34&lt;'信用保険料計算書（上限2000万）'!$E$15,0,IF(B34&gt;'信用保険料計算書（上限2000万）'!$E$16,0,1))</f>
        <v>0</v>
      </c>
      <c r="E34" s="209">
        <f>IF(D34=1,HLOOKUP(C34,'計算書（第1回）'!$C$123:$U$124,2,TRUE),0)</f>
        <v>0</v>
      </c>
      <c r="F34" s="209">
        <f>IF('信用保険料計算書（上限2000万）'!$G$15="",0,IF($B34&lt;'信用保険料計算書（上限2000万）'!$G$15,0,IF($B34&gt;'信用保険料計算書（上限2000万）'!$G$16,0,1)))</f>
        <v>0</v>
      </c>
      <c r="G34" s="209">
        <f>IF(F34=1,HLOOKUP(C34,'計算書（第2回）'!$C$123:$U$124,2,TRUE),0)</f>
        <v>0</v>
      </c>
      <c r="H34" s="209">
        <f>IF('信用保険料計算書（上限2000万）'!$I$15="",0,IF($B34&lt;'信用保険料計算書（上限2000万）'!$I$15,0,IF($B34&gt;'信用保険料計算書（上限2000万）'!$I$16,0,1)))</f>
        <v>0</v>
      </c>
      <c r="I34" s="209">
        <f>IF(H34=1,HLOOKUP(C34,'計算書（第3回）'!$C$123:$U$124,2,TRUE),0)</f>
        <v>0</v>
      </c>
      <c r="J34" s="209">
        <f>IF('信用保険料計算書（上限2000万）'!$K$15="",0,IF($B34&lt;'信用保険料計算書（上限2000万）'!$K$15,0,IF($B34&gt;'信用保険料計算書（上限2000万）'!$K$16,0,1)))</f>
        <v>0</v>
      </c>
      <c r="K34" s="209">
        <f>IF(J34=1,HLOOKUP(C34,'計算書（第4回）'!$C$123:$U$124,2,TRUE),0)</f>
        <v>0</v>
      </c>
      <c r="L34" s="209">
        <f>IF('信用保険料計算書（上限2000万）'!$M$15="",0,IF($B34&lt;'信用保険料計算書（上限2000万）'!$M$15,0,IF($B34&gt;'信用保険料計算書（上限2000万）'!$M$16,0,1)))</f>
        <v>0</v>
      </c>
      <c r="M34" s="209">
        <f>IF(L34=1,HLOOKUP(C34,'計算書（第5回）'!$C$123:$U$124,2,TRUE),0)</f>
        <v>0</v>
      </c>
      <c r="N34" s="209">
        <f>IF('信用保険料計算書（上限2000万）'!$O$15="",0,IF($B34&lt;'信用保険料計算書（上限2000万）'!$O$15,0,IF($B34&gt;'信用保険料計算書（上限2000万）'!$O$16,0,1)))</f>
        <v>0</v>
      </c>
      <c r="O34" s="209">
        <f>IF(N34=1,HLOOKUP(C34,'計算書（第6回）'!$C$123:$U$124,2,TRUE),0)</f>
        <v>0</v>
      </c>
      <c r="P34" s="209">
        <f>IF('信用保険料計算書（上限2000万）'!$Q$15="",0,IF($B34&lt;'信用保険料計算書（上限2000万）'!$Q$15,0,IF($B34&gt;'信用保険料計算書（上限2000万）'!$Q$16,0,1)))</f>
        <v>0</v>
      </c>
      <c r="Q34" s="209">
        <f>IF(P34=1,HLOOKUP(C34,'計算書（第7回）'!$C$123:$U$124,2,TRUE),0)</f>
        <v>0</v>
      </c>
      <c r="R34" s="210"/>
      <c r="S34" s="211">
        <f>COUNTIF($AB$13:$AB$19,"&lt;=2013/11/1")</f>
        <v>0</v>
      </c>
      <c r="T34" s="178" t="e">
        <f t="shared" si="5"/>
        <v>#NUM!</v>
      </c>
      <c r="U34" s="181">
        <f t="shared" si="1"/>
        <v>0</v>
      </c>
      <c r="V34" s="182">
        <f t="shared" si="2"/>
        <v>0</v>
      </c>
      <c r="W34" s="245">
        <f t="shared" si="3"/>
        <v>0</v>
      </c>
      <c r="X34" s="182"/>
    </row>
    <row r="35" spans="2:24">
      <c r="B35" s="214">
        <f t="shared" si="4"/>
        <v>41609</v>
      </c>
      <c r="C35" s="198">
        <f t="shared" si="0"/>
        <v>41579</v>
      </c>
      <c r="D35" s="209">
        <f>IF(B35&lt;'信用保険料計算書（上限2000万）'!$E$15,0,IF(B35&gt;'信用保険料計算書（上限2000万）'!$E$16,0,1))</f>
        <v>0</v>
      </c>
      <c r="E35" s="209">
        <f>IF(D35=1,HLOOKUP(C35,'計算書（第1回）'!$C$123:$U$124,2,TRUE),0)</f>
        <v>0</v>
      </c>
      <c r="F35" s="209">
        <f>IF('信用保険料計算書（上限2000万）'!$G$15="",0,IF($B35&lt;'信用保険料計算書（上限2000万）'!$G$15,0,IF($B35&gt;'信用保険料計算書（上限2000万）'!$G$16,0,1)))</f>
        <v>0</v>
      </c>
      <c r="G35" s="209">
        <f>IF(F35=1,HLOOKUP(C35,'計算書（第2回）'!$C$123:$U$124,2,TRUE),0)</f>
        <v>0</v>
      </c>
      <c r="H35" s="209">
        <f>IF('信用保険料計算書（上限2000万）'!$I$15="",0,IF($B35&lt;'信用保険料計算書（上限2000万）'!$I$15,0,IF($B35&gt;'信用保険料計算書（上限2000万）'!$I$16,0,1)))</f>
        <v>0</v>
      </c>
      <c r="I35" s="209">
        <f>IF(H35=1,HLOOKUP(C35,'計算書（第3回）'!$C$123:$U$124,2,TRUE),0)</f>
        <v>0</v>
      </c>
      <c r="J35" s="209">
        <f>IF('信用保険料計算書（上限2000万）'!$K$15="",0,IF($B35&lt;'信用保険料計算書（上限2000万）'!$K$15,0,IF($B35&gt;'信用保険料計算書（上限2000万）'!$K$16,0,1)))</f>
        <v>0</v>
      </c>
      <c r="K35" s="209">
        <f>IF(J35=1,HLOOKUP(C35,'計算書（第4回）'!$C$123:$U$124,2,TRUE),0)</f>
        <v>0</v>
      </c>
      <c r="L35" s="209">
        <f>IF('信用保険料計算書（上限2000万）'!$M$15="",0,IF($B35&lt;'信用保険料計算書（上限2000万）'!$M$15,0,IF($B35&gt;'信用保険料計算書（上限2000万）'!$M$16,0,1)))</f>
        <v>0</v>
      </c>
      <c r="M35" s="209">
        <f>IF(L35=1,HLOOKUP(C35,'計算書（第5回）'!$C$123:$U$124,2,TRUE),0)</f>
        <v>0</v>
      </c>
      <c r="N35" s="209">
        <f>IF('信用保険料計算書（上限2000万）'!$O$15="",0,IF($B35&lt;'信用保険料計算書（上限2000万）'!$O$15,0,IF($B35&gt;'信用保険料計算書（上限2000万）'!$O$16,0,1)))</f>
        <v>0</v>
      </c>
      <c r="O35" s="209">
        <f>IF(N35=1,HLOOKUP(C35,'計算書（第6回）'!$C$123:$U$124,2,TRUE),0)</f>
        <v>0</v>
      </c>
      <c r="P35" s="209">
        <f>IF('信用保険料計算書（上限2000万）'!$Q$15="",0,IF($B35&lt;'信用保険料計算書（上限2000万）'!$Q$15,0,IF($B35&gt;'信用保険料計算書（上限2000万）'!$Q$16,0,1)))</f>
        <v>0</v>
      </c>
      <c r="Q35" s="209">
        <f>IF(P35=1,HLOOKUP(C35,'計算書（第7回）'!$C$123:$U$124,2,TRUE),0)</f>
        <v>0</v>
      </c>
      <c r="R35" s="210"/>
      <c r="S35" s="211">
        <f>COUNTIF($AB$13:$AB$19,"&lt;=2013/12/1")</f>
        <v>0</v>
      </c>
      <c r="T35" s="178" t="e">
        <f t="shared" si="5"/>
        <v>#NUM!</v>
      </c>
      <c r="U35" s="181">
        <f t="shared" si="1"/>
        <v>0</v>
      </c>
      <c r="V35" s="182">
        <f t="shared" si="2"/>
        <v>0</v>
      </c>
      <c r="W35" s="245">
        <f t="shared" si="3"/>
        <v>0</v>
      </c>
      <c r="X35" s="182"/>
    </row>
    <row r="36" spans="2:24">
      <c r="B36" s="214">
        <f t="shared" si="4"/>
        <v>41640</v>
      </c>
      <c r="C36" s="198">
        <f t="shared" si="0"/>
        <v>41609</v>
      </c>
      <c r="D36" s="209">
        <f>IF(B36&lt;'信用保険料計算書（上限2000万）'!$E$15,0,IF(B36&gt;'信用保険料計算書（上限2000万）'!$E$16,0,1))</f>
        <v>0</v>
      </c>
      <c r="E36" s="209">
        <f>IF(D36=1,HLOOKUP(C36,'計算書（第1回）'!$C$123:$U$124,2,TRUE),0)</f>
        <v>0</v>
      </c>
      <c r="F36" s="209">
        <f>IF('信用保険料計算書（上限2000万）'!$G$15="",0,IF($B36&lt;'信用保険料計算書（上限2000万）'!$G$15,0,IF($B36&gt;'信用保険料計算書（上限2000万）'!$G$16,0,1)))</f>
        <v>0</v>
      </c>
      <c r="G36" s="209">
        <f>IF(F36=1,HLOOKUP(C36,'計算書（第2回）'!$C$123:$U$124,2,TRUE),0)</f>
        <v>0</v>
      </c>
      <c r="H36" s="209">
        <f>IF('信用保険料計算書（上限2000万）'!$I$15="",0,IF($B36&lt;'信用保険料計算書（上限2000万）'!$I$15,0,IF($B36&gt;'信用保険料計算書（上限2000万）'!$I$16,0,1)))</f>
        <v>0</v>
      </c>
      <c r="I36" s="209">
        <f>IF(H36=1,HLOOKUP(C36,'計算書（第3回）'!$C$123:$U$124,2,TRUE),0)</f>
        <v>0</v>
      </c>
      <c r="J36" s="209">
        <f>IF('信用保険料計算書（上限2000万）'!$K$15="",0,IF($B36&lt;'信用保険料計算書（上限2000万）'!$K$15,0,IF($B36&gt;'信用保険料計算書（上限2000万）'!$K$16,0,1)))</f>
        <v>0</v>
      </c>
      <c r="K36" s="209">
        <f>IF(J36=1,HLOOKUP(C36,'計算書（第4回）'!$C$123:$U$124,2,TRUE),0)</f>
        <v>0</v>
      </c>
      <c r="L36" s="209">
        <f>IF('信用保険料計算書（上限2000万）'!$M$15="",0,IF($B36&lt;'信用保険料計算書（上限2000万）'!$M$15,0,IF($B36&gt;'信用保険料計算書（上限2000万）'!$M$16,0,1)))</f>
        <v>0</v>
      </c>
      <c r="M36" s="209">
        <f>IF(L36=1,HLOOKUP(C36,'計算書（第5回）'!$C$123:$U$124,2,TRUE),0)</f>
        <v>0</v>
      </c>
      <c r="N36" s="209">
        <f>IF('信用保険料計算書（上限2000万）'!$O$15="",0,IF($B36&lt;'信用保険料計算書（上限2000万）'!$O$15,0,IF($B36&gt;'信用保険料計算書（上限2000万）'!$O$16,0,1)))</f>
        <v>0</v>
      </c>
      <c r="O36" s="209">
        <f>IF(N36=1,HLOOKUP(C36,'計算書（第6回）'!$C$123:$U$124,2,TRUE),0)</f>
        <v>0</v>
      </c>
      <c r="P36" s="209">
        <f>IF('信用保険料計算書（上限2000万）'!$Q$15="",0,IF($B36&lt;'信用保険料計算書（上限2000万）'!$Q$15,0,IF($B36&gt;'信用保険料計算書（上限2000万）'!$Q$16,0,1)))</f>
        <v>0</v>
      </c>
      <c r="Q36" s="209">
        <f>IF(P36=1,HLOOKUP(C36,'計算書（第7回）'!$C$123:$U$124,2,TRUE),0)</f>
        <v>0</v>
      </c>
      <c r="R36" s="210"/>
      <c r="S36" s="211">
        <f>COUNTIF($AB$13:$AB$19,"&lt;=2014/1/1")</f>
        <v>0</v>
      </c>
      <c r="T36" s="178" t="e">
        <f t="shared" si="5"/>
        <v>#NUM!</v>
      </c>
      <c r="U36" s="181">
        <f t="shared" si="1"/>
        <v>0</v>
      </c>
      <c r="V36" s="182">
        <f t="shared" si="2"/>
        <v>0</v>
      </c>
      <c r="W36" s="245">
        <f t="shared" si="3"/>
        <v>0</v>
      </c>
      <c r="X36" s="182"/>
    </row>
    <row r="37" spans="2:24">
      <c r="B37" s="214">
        <f t="shared" si="4"/>
        <v>41671</v>
      </c>
      <c r="C37" s="198">
        <f t="shared" si="0"/>
        <v>41640</v>
      </c>
      <c r="D37" s="209">
        <f>IF(B37&lt;'信用保険料計算書（上限2000万）'!$E$15,0,IF(B37&gt;'信用保険料計算書（上限2000万）'!$E$16,0,1))</f>
        <v>0</v>
      </c>
      <c r="E37" s="209">
        <f>IF(D37=1,HLOOKUP(C37,'計算書（第1回）'!$C$123:$U$124,2,TRUE),0)</f>
        <v>0</v>
      </c>
      <c r="F37" s="209">
        <f>IF('信用保険料計算書（上限2000万）'!$G$15="",0,IF($B37&lt;'信用保険料計算書（上限2000万）'!$G$15,0,IF($B37&gt;'信用保険料計算書（上限2000万）'!$G$16,0,1)))</f>
        <v>0</v>
      </c>
      <c r="G37" s="209">
        <f>IF(F37=1,HLOOKUP(C37,'計算書（第2回）'!$C$123:$U$124,2,TRUE),0)</f>
        <v>0</v>
      </c>
      <c r="H37" s="209">
        <f>IF('信用保険料計算書（上限2000万）'!$I$15="",0,IF($B37&lt;'信用保険料計算書（上限2000万）'!$I$15,0,IF($B37&gt;'信用保険料計算書（上限2000万）'!$I$16,0,1)))</f>
        <v>0</v>
      </c>
      <c r="I37" s="209">
        <f>IF(H37=1,HLOOKUP(C37,'計算書（第3回）'!$C$123:$U$124,2,TRUE),0)</f>
        <v>0</v>
      </c>
      <c r="J37" s="209">
        <f>IF('信用保険料計算書（上限2000万）'!$K$15="",0,IF($B37&lt;'信用保険料計算書（上限2000万）'!$K$15,0,IF($B37&gt;'信用保険料計算書（上限2000万）'!$K$16,0,1)))</f>
        <v>0</v>
      </c>
      <c r="K37" s="209">
        <f>IF(J37=1,HLOOKUP(C37,'計算書（第4回）'!$C$123:$U$124,2,TRUE),0)</f>
        <v>0</v>
      </c>
      <c r="L37" s="209">
        <f>IF('信用保険料計算書（上限2000万）'!$M$15="",0,IF($B37&lt;'信用保険料計算書（上限2000万）'!$M$15,0,IF($B37&gt;'信用保険料計算書（上限2000万）'!$M$16,0,1)))</f>
        <v>0</v>
      </c>
      <c r="M37" s="209">
        <f>IF(L37=1,HLOOKUP(C37,'計算書（第5回）'!$C$123:$U$124,2,TRUE),0)</f>
        <v>0</v>
      </c>
      <c r="N37" s="209">
        <f>IF('信用保険料計算書（上限2000万）'!$O$15="",0,IF($B37&lt;'信用保険料計算書（上限2000万）'!$O$15,0,IF($B37&gt;'信用保険料計算書（上限2000万）'!$O$16,0,1)))</f>
        <v>0</v>
      </c>
      <c r="O37" s="209">
        <f>IF(N37=1,HLOOKUP(C37,'計算書（第6回）'!$C$123:$U$124,2,TRUE),0)</f>
        <v>0</v>
      </c>
      <c r="P37" s="209">
        <f>IF('信用保険料計算書（上限2000万）'!$Q$15="",0,IF($B37&lt;'信用保険料計算書（上限2000万）'!$Q$15,0,IF($B37&gt;'信用保険料計算書（上限2000万）'!$Q$16,0,1)))</f>
        <v>0</v>
      </c>
      <c r="Q37" s="209">
        <f>IF(P37=1,HLOOKUP(C37,'計算書（第7回）'!$C$123:$U$124,2,TRUE),0)</f>
        <v>0</v>
      </c>
      <c r="R37" s="210"/>
      <c r="S37" s="211">
        <f>COUNTIF($AB$13:$AB$19,"&lt;=2014/2/1")</f>
        <v>0</v>
      </c>
      <c r="T37" s="178" t="e">
        <f t="shared" si="5"/>
        <v>#NUM!</v>
      </c>
      <c r="U37" s="181">
        <f t="shared" si="1"/>
        <v>0</v>
      </c>
      <c r="V37" s="182">
        <f t="shared" si="2"/>
        <v>0</v>
      </c>
      <c r="W37" s="245">
        <f t="shared" si="3"/>
        <v>0</v>
      </c>
      <c r="X37" s="182"/>
    </row>
    <row r="38" spans="2:24">
      <c r="B38" s="214">
        <f t="shared" si="4"/>
        <v>41699</v>
      </c>
      <c r="C38" s="198">
        <f t="shared" si="0"/>
        <v>41671</v>
      </c>
      <c r="D38" s="209">
        <f>IF(B38&lt;'信用保険料計算書（上限2000万）'!$E$15,0,IF(B38&gt;'信用保険料計算書（上限2000万）'!$E$16,0,1))</f>
        <v>0</v>
      </c>
      <c r="E38" s="209">
        <f>IF(D38=1,HLOOKUP(C38,'計算書（第1回）'!$C$123:$U$124,2,TRUE),0)</f>
        <v>0</v>
      </c>
      <c r="F38" s="209">
        <f>IF('信用保険料計算書（上限2000万）'!$G$15="",0,IF($B38&lt;'信用保険料計算書（上限2000万）'!$G$15,0,IF($B38&gt;'信用保険料計算書（上限2000万）'!$G$16,0,1)))</f>
        <v>0</v>
      </c>
      <c r="G38" s="209">
        <f>IF(F38=1,HLOOKUP(C38,'計算書（第2回）'!$C$123:$U$124,2,TRUE),0)</f>
        <v>0</v>
      </c>
      <c r="H38" s="209">
        <f>IF('信用保険料計算書（上限2000万）'!$I$15="",0,IF($B38&lt;'信用保険料計算書（上限2000万）'!$I$15,0,IF($B38&gt;'信用保険料計算書（上限2000万）'!$I$16,0,1)))</f>
        <v>0</v>
      </c>
      <c r="I38" s="209">
        <f>IF(H38=1,HLOOKUP(C38,'計算書（第3回）'!$C$123:$U$124,2,TRUE),0)</f>
        <v>0</v>
      </c>
      <c r="J38" s="209">
        <f>IF('信用保険料計算書（上限2000万）'!$K$15="",0,IF($B38&lt;'信用保険料計算書（上限2000万）'!$K$15,0,IF($B38&gt;'信用保険料計算書（上限2000万）'!$K$16,0,1)))</f>
        <v>0</v>
      </c>
      <c r="K38" s="209">
        <f>IF(J38=1,HLOOKUP(C38,'計算書（第4回）'!$C$123:$U$124,2,TRUE),0)</f>
        <v>0</v>
      </c>
      <c r="L38" s="209">
        <f>IF('信用保険料計算書（上限2000万）'!$M$15="",0,IF($B38&lt;'信用保険料計算書（上限2000万）'!$M$15,0,IF($B38&gt;'信用保険料計算書（上限2000万）'!$M$16,0,1)))</f>
        <v>0</v>
      </c>
      <c r="M38" s="209">
        <f>IF(L38=1,HLOOKUP(C38,'計算書（第5回）'!$C$123:$U$124,2,TRUE),0)</f>
        <v>0</v>
      </c>
      <c r="N38" s="209">
        <f>IF('信用保険料計算書（上限2000万）'!$O$15="",0,IF($B38&lt;'信用保険料計算書（上限2000万）'!$O$15,0,IF($B38&gt;'信用保険料計算書（上限2000万）'!$O$16,0,1)))</f>
        <v>0</v>
      </c>
      <c r="O38" s="209">
        <f>IF(N38=1,HLOOKUP(C38,'計算書（第6回）'!$C$123:$U$124,2,TRUE),0)</f>
        <v>0</v>
      </c>
      <c r="P38" s="209">
        <f>IF('信用保険料計算書（上限2000万）'!$Q$15="",0,IF($B38&lt;'信用保険料計算書（上限2000万）'!$Q$15,0,IF($B38&gt;'信用保険料計算書（上限2000万）'!$Q$16,0,1)))</f>
        <v>0</v>
      </c>
      <c r="Q38" s="209">
        <f>IF(P38=1,HLOOKUP(C38,'計算書（第7回）'!$C$123:$U$124,2,TRUE),0)</f>
        <v>0</v>
      </c>
      <c r="R38" s="210"/>
      <c r="S38" s="211">
        <f>COUNTIF($AB$13:$AB$19,"&lt;=2014/3/1")</f>
        <v>0</v>
      </c>
      <c r="T38" s="178" t="e">
        <f t="shared" si="5"/>
        <v>#NUM!</v>
      </c>
      <c r="U38" s="181">
        <f t="shared" si="1"/>
        <v>0</v>
      </c>
      <c r="V38" s="182">
        <f t="shared" si="2"/>
        <v>0</v>
      </c>
      <c r="W38" s="245">
        <f t="shared" si="3"/>
        <v>0</v>
      </c>
      <c r="X38" s="183">
        <f>INT(SUM(W33:W38))</f>
        <v>0</v>
      </c>
    </row>
    <row r="39" spans="2:24">
      <c r="B39" s="214">
        <f t="shared" si="4"/>
        <v>41730</v>
      </c>
      <c r="C39" s="198">
        <f t="shared" si="0"/>
        <v>41699</v>
      </c>
      <c r="D39" s="209">
        <f>IF(B39&lt;'信用保険料計算書（上限2000万）'!$E$15,0,IF(B39&gt;'信用保険料計算書（上限2000万）'!$E$16,0,1))</f>
        <v>0</v>
      </c>
      <c r="E39" s="209">
        <f>IF(D39=1,HLOOKUP(C39,'計算書（第1回）'!$C$123:$U$124,2,TRUE),0)</f>
        <v>0</v>
      </c>
      <c r="F39" s="209">
        <f>IF('信用保険料計算書（上限2000万）'!$G$15="",0,IF($B39&lt;'信用保険料計算書（上限2000万）'!$G$15,0,IF($B39&gt;'信用保険料計算書（上限2000万）'!$G$16,0,1)))</f>
        <v>0</v>
      </c>
      <c r="G39" s="209">
        <f>IF(F39=1,HLOOKUP(C39,'計算書（第2回）'!$C$123:$U$124,2,TRUE),0)</f>
        <v>0</v>
      </c>
      <c r="H39" s="209">
        <f>IF('信用保険料計算書（上限2000万）'!$I$15="",0,IF($B39&lt;'信用保険料計算書（上限2000万）'!$I$15,0,IF($B39&gt;'信用保険料計算書（上限2000万）'!$I$16,0,1)))</f>
        <v>0</v>
      </c>
      <c r="I39" s="209">
        <f>IF(H39=1,HLOOKUP(C39,'計算書（第3回）'!$C$123:$U$124,2,TRUE),0)</f>
        <v>0</v>
      </c>
      <c r="J39" s="209">
        <f>IF('信用保険料計算書（上限2000万）'!$K$15="",0,IF($B39&lt;'信用保険料計算書（上限2000万）'!$K$15,0,IF($B39&gt;'信用保険料計算書（上限2000万）'!$K$16,0,1)))</f>
        <v>0</v>
      </c>
      <c r="K39" s="209">
        <f>IF(J39=1,HLOOKUP(C39,'計算書（第4回）'!$C$123:$U$124,2,TRUE),0)</f>
        <v>0</v>
      </c>
      <c r="L39" s="209">
        <f>IF('信用保険料計算書（上限2000万）'!$M$15="",0,IF($B39&lt;'信用保険料計算書（上限2000万）'!$M$15,0,IF($B39&gt;'信用保険料計算書（上限2000万）'!$M$16,0,1)))</f>
        <v>0</v>
      </c>
      <c r="M39" s="209">
        <f>IF(L39=1,HLOOKUP(C39,'計算書（第5回）'!$C$123:$U$124,2,TRUE),0)</f>
        <v>0</v>
      </c>
      <c r="N39" s="209">
        <f>IF('信用保険料計算書（上限2000万）'!$O$15="",0,IF($B39&lt;'信用保険料計算書（上限2000万）'!$O$15,0,IF($B39&gt;'信用保険料計算書（上限2000万）'!$O$16,0,1)))</f>
        <v>0</v>
      </c>
      <c r="O39" s="209">
        <f>IF(N39=1,HLOOKUP(C39,'計算書（第6回）'!$C$123:$U$124,2,TRUE),0)</f>
        <v>0</v>
      </c>
      <c r="P39" s="209">
        <f>IF('信用保険料計算書（上限2000万）'!$Q$15="",0,IF($B39&lt;'信用保険料計算書（上限2000万）'!$Q$15,0,IF($B39&gt;'信用保険料計算書（上限2000万）'!$Q$16,0,1)))</f>
        <v>0</v>
      </c>
      <c r="Q39" s="209">
        <f>IF(P39=1,HLOOKUP(C39,'計算書（第7回）'!$C$123:$U$124,2,TRUE),0)</f>
        <v>0</v>
      </c>
      <c r="R39" s="210"/>
      <c r="S39" s="211">
        <f>COUNTIF($AB$13:$AB$19,"&lt;=2014/4/1")</f>
        <v>0</v>
      </c>
      <c r="T39" s="178" t="e">
        <f t="shared" si="5"/>
        <v>#NUM!</v>
      </c>
      <c r="U39" s="181">
        <f t="shared" si="1"/>
        <v>0</v>
      </c>
      <c r="V39" s="182">
        <f t="shared" si="2"/>
        <v>0</v>
      </c>
      <c r="W39" s="245">
        <f t="shared" si="3"/>
        <v>0</v>
      </c>
      <c r="X39" s="182"/>
    </row>
    <row r="40" spans="2:24">
      <c r="B40" s="214">
        <f t="shared" si="4"/>
        <v>41760</v>
      </c>
      <c r="C40" s="198">
        <f t="shared" si="0"/>
        <v>41730</v>
      </c>
      <c r="D40" s="209">
        <f>IF(B40&lt;'信用保険料計算書（上限2000万）'!$E$15,0,IF(B40&gt;'信用保険料計算書（上限2000万）'!$E$16,0,1))</f>
        <v>0</v>
      </c>
      <c r="E40" s="209">
        <f>IF(D40=1,HLOOKUP(C40,'計算書（第1回）'!$C$123:$U$124,2,TRUE),0)</f>
        <v>0</v>
      </c>
      <c r="F40" s="209">
        <f>IF('信用保険料計算書（上限2000万）'!$G$15="",0,IF($B40&lt;'信用保険料計算書（上限2000万）'!$G$15,0,IF($B40&gt;'信用保険料計算書（上限2000万）'!$G$16,0,1)))</f>
        <v>0</v>
      </c>
      <c r="G40" s="209">
        <f>IF(F40=1,HLOOKUP(C40,'計算書（第2回）'!$C$123:$U$124,2,TRUE),0)</f>
        <v>0</v>
      </c>
      <c r="H40" s="209">
        <f>IF('信用保険料計算書（上限2000万）'!$I$15="",0,IF($B40&lt;'信用保険料計算書（上限2000万）'!$I$15,0,IF($B40&gt;'信用保険料計算書（上限2000万）'!$I$16,0,1)))</f>
        <v>0</v>
      </c>
      <c r="I40" s="209">
        <f>IF(H40=1,HLOOKUP(C40,'計算書（第3回）'!$C$123:$U$124,2,TRUE),0)</f>
        <v>0</v>
      </c>
      <c r="J40" s="209">
        <f>IF('信用保険料計算書（上限2000万）'!$K$15="",0,IF($B40&lt;'信用保険料計算書（上限2000万）'!$K$15,0,IF($B40&gt;'信用保険料計算書（上限2000万）'!$K$16,0,1)))</f>
        <v>0</v>
      </c>
      <c r="K40" s="209">
        <f>IF(J40=1,HLOOKUP(C40,'計算書（第4回）'!$C$123:$U$124,2,TRUE),0)</f>
        <v>0</v>
      </c>
      <c r="L40" s="209">
        <f>IF('信用保険料計算書（上限2000万）'!$M$15="",0,IF($B40&lt;'信用保険料計算書（上限2000万）'!$M$15,0,IF($B40&gt;'信用保険料計算書（上限2000万）'!$M$16,0,1)))</f>
        <v>0</v>
      </c>
      <c r="M40" s="209">
        <f>IF(L40=1,HLOOKUP(C40,'計算書（第5回）'!$C$123:$U$124,2,TRUE),0)</f>
        <v>0</v>
      </c>
      <c r="N40" s="209">
        <f>IF('信用保険料計算書（上限2000万）'!$O$15="",0,IF($B40&lt;'信用保険料計算書（上限2000万）'!$O$15,0,IF($B40&gt;'信用保険料計算書（上限2000万）'!$O$16,0,1)))</f>
        <v>0</v>
      </c>
      <c r="O40" s="209">
        <f>IF(N40=1,HLOOKUP(C40,'計算書（第6回）'!$C$123:$U$124,2,TRUE),0)</f>
        <v>0</v>
      </c>
      <c r="P40" s="209">
        <f>IF('信用保険料計算書（上限2000万）'!$Q$15="",0,IF($B40&lt;'信用保険料計算書（上限2000万）'!$Q$15,0,IF($B40&gt;'信用保険料計算書（上限2000万）'!$Q$16,0,1)))</f>
        <v>0</v>
      </c>
      <c r="Q40" s="209">
        <f>IF(P40=1,HLOOKUP(C40,'計算書（第7回）'!$C$123:$U$124,2,TRUE),0)</f>
        <v>0</v>
      </c>
      <c r="R40" s="210"/>
      <c r="S40" s="211">
        <f>COUNTIF($AB$13:$AB$19,"&lt;=2014/5/1")</f>
        <v>0</v>
      </c>
      <c r="T40" s="178" t="e">
        <f t="shared" si="5"/>
        <v>#NUM!</v>
      </c>
      <c r="U40" s="181">
        <f t="shared" si="1"/>
        <v>0</v>
      </c>
      <c r="V40" s="182">
        <f t="shared" si="2"/>
        <v>0</v>
      </c>
      <c r="W40" s="245">
        <f t="shared" si="3"/>
        <v>0</v>
      </c>
      <c r="X40" s="182"/>
    </row>
    <row r="41" spans="2:24">
      <c r="B41" s="214">
        <f t="shared" si="4"/>
        <v>41791</v>
      </c>
      <c r="C41" s="198">
        <f t="shared" si="0"/>
        <v>41760</v>
      </c>
      <c r="D41" s="209">
        <f>IF(B41&lt;'信用保険料計算書（上限2000万）'!$E$15,0,IF(B41&gt;'信用保険料計算書（上限2000万）'!$E$16,0,1))</f>
        <v>0</v>
      </c>
      <c r="E41" s="209">
        <f>IF(D41=1,HLOOKUP(C41,'計算書（第1回）'!$C$123:$U$124,2,TRUE),0)</f>
        <v>0</v>
      </c>
      <c r="F41" s="209">
        <f>IF('信用保険料計算書（上限2000万）'!$G$15="",0,IF($B41&lt;'信用保険料計算書（上限2000万）'!$G$15,0,IF($B41&gt;'信用保険料計算書（上限2000万）'!$G$16,0,1)))</f>
        <v>0</v>
      </c>
      <c r="G41" s="209">
        <f>IF(F41=1,HLOOKUP(C41,'計算書（第2回）'!$C$123:$U$124,2,TRUE),0)</f>
        <v>0</v>
      </c>
      <c r="H41" s="209">
        <f>IF('信用保険料計算書（上限2000万）'!$I$15="",0,IF($B41&lt;'信用保険料計算書（上限2000万）'!$I$15,0,IF($B41&gt;'信用保険料計算書（上限2000万）'!$I$16,0,1)))</f>
        <v>0</v>
      </c>
      <c r="I41" s="209">
        <f>IF(H41=1,HLOOKUP(C41,'計算書（第3回）'!$C$123:$U$124,2,TRUE),0)</f>
        <v>0</v>
      </c>
      <c r="J41" s="209">
        <f>IF('信用保険料計算書（上限2000万）'!$K$15="",0,IF($B41&lt;'信用保険料計算書（上限2000万）'!$K$15,0,IF($B41&gt;'信用保険料計算書（上限2000万）'!$K$16,0,1)))</f>
        <v>0</v>
      </c>
      <c r="K41" s="209">
        <f>IF(J41=1,HLOOKUP(C41,'計算書（第4回）'!$C$123:$U$124,2,TRUE),0)</f>
        <v>0</v>
      </c>
      <c r="L41" s="209">
        <f>IF('信用保険料計算書（上限2000万）'!$M$15="",0,IF($B41&lt;'信用保険料計算書（上限2000万）'!$M$15,0,IF($B41&gt;'信用保険料計算書（上限2000万）'!$M$16,0,1)))</f>
        <v>0</v>
      </c>
      <c r="M41" s="209">
        <f>IF(L41=1,HLOOKUP(C41,'計算書（第5回）'!$C$123:$U$124,2,TRUE),0)</f>
        <v>0</v>
      </c>
      <c r="N41" s="209">
        <f>IF('信用保険料計算書（上限2000万）'!$O$15="",0,IF($B41&lt;'信用保険料計算書（上限2000万）'!$O$15,0,IF($B41&gt;'信用保険料計算書（上限2000万）'!$O$16,0,1)))</f>
        <v>0</v>
      </c>
      <c r="O41" s="209">
        <f>IF(N41=1,HLOOKUP(C41,'計算書（第6回）'!$C$123:$U$124,2,TRUE),0)</f>
        <v>0</v>
      </c>
      <c r="P41" s="209">
        <f>IF('信用保険料計算書（上限2000万）'!$Q$15="",0,IF($B41&lt;'信用保険料計算書（上限2000万）'!$Q$15,0,IF($B41&gt;'信用保険料計算書（上限2000万）'!$Q$16,0,1)))</f>
        <v>0</v>
      </c>
      <c r="Q41" s="209">
        <f>IF(P41=1,HLOOKUP(C41,'計算書（第7回）'!$C$123:$U$124,2,TRUE),0)</f>
        <v>0</v>
      </c>
      <c r="R41" s="210"/>
      <c r="S41" s="211">
        <f>COUNTIF($AB$13:$AB$19,"&lt;=2014/6/1")</f>
        <v>0</v>
      </c>
      <c r="T41" s="178" t="e">
        <f t="shared" si="5"/>
        <v>#NUM!</v>
      </c>
      <c r="U41" s="181">
        <f t="shared" si="1"/>
        <v>0</v>
      </c>
      <c r="V41" s="182">
        <f t="shared" si="2"/>
        <v>0</v>
      </c>
      <c r="W41" s="245">
        <f t="shared" si="3"/>
        <v>0</v>
      </c>
      <c r="X41" s="182"/>
    </row>
    <row r="42" spans="2:24">
      <c r="B42" s="214">
        <f t="shared" si="4"/>
        <v>41821</v>
      </c>
      <c r="C42" s="198">
        <f t="shared" si="0"/>
        <v>41791</v>
      </c>
      <c r="D42" s="209">
        <f>IF(B42&lt;'信用保険料計算書（上限2000万）'!$E$15,0,IF(B42&gt;'信用保険料計算書（上限2000万）'!$E$16,0,1))</f>
        <v>0</v>
      </c>
      <c r="E42" s="209">
        <f>IF(D42=1,HLOOKUP(C42,'計算書（第1回）'!$C$123:$U$124,2,TRUE),0)</f>
        <v>0</v>
      </c>
      <c r="F42" s="209">
        <f>IF('信用保険料計算書（上限2000万）'!$G$15="",0,IF($B42&lt;'信用保険料計算書（上限2000万）'!$G$15,0,IF($B42&gt;'信用保険料計算書（上限2000万）'!$G$16,0,1)))</f>
        <v>0</v>
      </c>
      <c r="G42" s="209">
        <f>IF(F42=1,HLOOKUP(C42,'計算書（第2回）'!$C$123:$U$124,2,TRUE),0)</f>
        <v>0</v>
      </c>
      <c r="H42" s="209">
        <f>IF('信用保険料計算書（上限2000万）'!$I$15="",0,IF($B42&lt;'信用保険料計算書（上限2000万）'!$I$15,0,IF($B42&gt;'信用保険料計算書（上限2000万）'!$I$16,0,1)))</f>
        <v>0</v>
      </c>
      <c r="I42" s="209">
        <f>IF(H42=1,HLOOKUP(C42,'計算書（第3回）'!$C$123:$U$124,2,TRUE),0)</f>
        <v>0</v>
      </c>
      <c r="J42" s="209">
        <f>IF('信用保険料計算書（上限2000万）'!$K$15="",0,IF($B42&lt;'信用保険料計算書（上限2000万）'!$K$15,0,IF($B42&gt;'信用保険料計算書（上限2000万）'!$K$16,0,1)))</f>
        <v>0</v>
      </c>
      <c r="K42" s="209">
        <f>IF(J42=1,HLOOKUP(C42,'計算書（第4回）'!$C$123:$U$124,2,TRUE),0)</f>
        <v>0</v>
      </c>
      <c r="L42" s="209">
        <f>IF('信用保険料計算書（上限2000万）'!$M$15="",0,IF($B42&lt;'信用保険料計算書（上限2000万）'!$M$15,0,IF($B42&gt;'信用保険料計算書（上限2000万）'!$M$16,0,1)))</f>
        <v>0</v>
      </c>
      <c r="M42" s="209">
        <f>IF(L42=1,HLOOKUP(C42,'計算書（第5回）'!$C$123:$U$124,2,TRUE),0)</f>
        <v>0</v>
      </c>
      <c r="N42" s="209">
        <f>IF('信用保険料計算書（上限2000万）'!$O$15="",0,IF($B42&lt;'信用保険料計算書（上限2000万）'!$O$15,0,IF($B42&gt;'信用保険料計算書（上限2000万）'!$O$16,0,1)))</f>
        <v>0</v>
      </c>
      <c r="O42" s="209">
        <f>IF(N42=1,HLOOKUP(C42,'計算書（第6回）'!$C$123:$U$124,2,TRUE),0)</f>
        <v>0</v>
      </c>
      <c r="P42" s="209">
        <f>IF('信用保険料計算書（上限2000万）'!$Q$15="",0,IF($B42&lt;'信用保険料計算書（上限2000万）'!$Q$15,0,IF($B42&gt;'信用保険料計算書（上限2000万）'!$Q$16,0,1)))</f>
        <v>0</v>
      </c>
      <c r="Q42" s="209">
        <f>IF(P42=1,HLOOKUP(C42,'計算書（第7回）'!$C$123:$U$124,2,TRUE),0)</f>
        <v>0</v>
      </c>
      <c r="R42" s="210"/>
      <c r="S42" s="211">
        <f>COUNTIF($AB$13:$AB$19,"&lt;=2014/7/1")</f>
        <v>0</v>
      </c>
      <c r="T42" s="178" t="e">
        <f t="shared" si="5"/>
        <v>#NUM!</v>
      </c>
      <c r="U42" s="181">
        <f t="shared" si="1"/>
        <v>0</v>
      </c>
      <c r="V42" s="182">
        <f t="shared" si="2"/>
        <v>0</v>
      </c>
      <c r="W42" s="245">
        <f t="shared" si="3"/>
        <v>0</v>
      </c>
      <c r="X42" s="182"/>
    </row>
    <row r="43" spans="2:24">
      <c r="B43" s="214">
        <f t="shared" si="4"/>
        <v>41852</v>
      </c>
      <c r="C43" s="198">
        <f t="shared" si="0"/>
        <v>41821</v>
      </c>
      <c r="D43" s="209">
        <f>IF(B43&lt;'信用保険料計算書（上限2000万）'!$E$15,0,IF(B43&gt;'信用保険料計算書（上限2000万）'!$E$16,0,1))</f>
        <v>0</v>
      </c>
      <c r="E43" s="209">
        <f>IF(D43=1,HLOOKUP(C43,'計算書（第1回）'!$C$123:$U$124,2,TRUE),0)</f>
        <v>0</v>
      </c>
      <c r="F43" s="209">
        <f>IF('信用保険料計算書（上限2000万）'!$G$15="",0,IF($B43&lt;'信用保険料計算書（上限2000万）'!$G$15,0,IF($B43&gt;'信用保険料計算書（上限2000万）'!$G$16,0,1)))</f>
        <v>0</v>
      </c>
      <c r="G43" s="209">
        <f>IF(F43=1,HLOOKUP(C43,'計算書（第2回）'!$C$123:$U$124,2,TRUE),0)</f>
        <v>0</v>
      </c>
      <c r="H43" s="209">
        <f>IF('信用保険料計算書（上限2000万）'!$I$15="",0,IF($B43&lt;'信用保険料計算書（上限2000万）'!$I$15,0,IF($B43&gt;'信用保険料計算書（上限2000万）'!$I$16,0,1)))</f>
        <v>0</v>
      </c>
      <c r="I43" s="209">
        <f>IF(H43=1,HLOOKUP(C43,'計算書（第3回）'!$C$123:$U$124,2,TRUE),0)</f>
        <v>0</v>
      </c>
      <c r="J43" s="209">
        <f>IF('信用保険料計算書（上限2000万）'!$K$15="",0,IF($B43&lt;'信用保険料計算書（上限2000万）'!$K$15,0,IF($B43&gt;'信用保険料計算書（上限2000万）'!$K$16,0,1)))</f>
        <v>0</v>
      </c>
      <c r="K43" s="209">
        <f>IF(J43=1,HLOOKUP(C43,'計算書（第4回）'!$C$123:$U$124,2,TRUE),0)</f>
        <v>0</v>
      </c>
      <c r="L43" s="209">
        <f>IF('信用保険料計算書（上限2000万）'!$M$15="",0,IF($B43&lt;'信用保険料計算書（上限2000万）'!$M$15,0,IF($B43&gt;'信用保険料計算書（上限2000万）'!$M$16,0,1)))</f>
        <v>0</v>
      </c>
      <c r="M43" s="209">
        <f>IF(L43=1,HLOOKUP(C43,'計算書（第5回）'!$C$123:$U$124,2,TRUE),0)</f>
        <v>0</v>
      </c>
      <c r="N43" s="209">
        <f>IF('信用保険料計算書（上限2000万）'!$O$15="",0,IF($B43&lt;'信用保険料計算書（上限2000万）'!$O$15,0,IF($B43&gt;'信用保険料計算書（上限2000万）'!$O$16,0,1)))</f>
        <v>0</v>
      </c>
      <c r="O43" s="209">
        <f>IF(N43=1,HLOOKUP(C43,'計算書（第6回）'!$C$123:$U$124,2,TRUE),0)</f>
        <v>0</v>
      </c>
      <c r="P43" s="209">
        <f>IF('信用保険料計算書（上限2000万）'!$Q$15="",0,IF($B43&lt;'信用保険料計算書（上限2000万）'!$Q$15,0,IF($B43&gt;'信用保険料計算書（上限2000万）'!$Q$16,0,1)))</f>
        <v>0</v>
      </c>
      <c r="Q43" s="209">
        <f>IF(P43=1,HLOOKUP(C43,'計算書（第7回）'!$C$123:$U$124,2,TRUE),0)</f>
        <v>0</v>
      </c>
      <c r="R43" s="210"/>
      <c r="S43" s="211">
        <f>COUNTIF($AB$13:$AB$19,"&lt;=2014/8/1")</f>
        <v>0</v>
      </c>
      <c r="T43" s="178" t="e">
        <f t="shared" si="5"/>
        <v>#NUM!</v>
      </c>
      <c r="U43" s="181">
        <f t="shared" si="1"/>
        <v>0</v>
      </c>
      <c r="V43" s="182">
        <f t="shared" si="2"/>
        <v>0</v>
      </c>
      <c r="W43" s="245">
        <f t="shared" si="3"/>
        <v>0</v>
      </c>
      <c r="X43" s="182"/>
    </row>
    <row r="44" spans="2:24">
      <c r="B44" s="214">
        <f t="shared" si="4"/>
        <v>41883</v>
      </c>
      <c r="C44" s="198">
        <f t="shared" si="0"/>
        <v>41852</v>
      </c>
      <c r="D44" s="209">
        <f>IF(B44&lt;'信用保険料計算書（上限2000万）'!$E$15,0,IF(B44&gt;'信用保険料計算書（上限2000万）'!$E$16,0,1))</f>
        <v>0</v>
      </c>
      <c r="E44" s="209">
        <f>IF(D44=1,HLOOKUP(C44,'計算書（第1回）'!$C$123:$U$124,2,TRUE),0)</f>
        <v>0</v>
      </c>
      <c r="F44" s="209">
        <f>IF('信用保険料計算書（上限2000万）'!$G$15="",0,IF($B44&lt;'信用保険料計算書（上限2000万）'!$G$15,0,IF($B44&gt;'信用保険料計算書（上限2000万）'!$G$16,0,1)))</f>
        <v>0</v>
      </c>
      <c r="G44" s="209">
        <f>IF(F44=1,HLOOKUP(C44,'計算書（第2回）'!$C$123:$U$124,2,TRUE),0)</f>
        <v>0</v>
      </c>
      <c r="H44" s="209">
        <f>IF('信用保険料計算書（上限2000万）'!$I$15="",0,IF($B44&lt;'信用保険料計算書（上限2000万）'!$I$15,0,IF($B44&gt;'信用保険料計算書（上限2000万）'!$I$16,0,1)))</f>
        <v>0</v>
      </c>
      <c r="I44" s="209">
        <f>IF(H44=1,HLOOKUP(C44,'計算書（第3回）'!$C$123:$U$124,2,TRUE),0)</f>
        <v>0</v>
      </c>
      <c r="J44" s="209">
        <f>IF('信用保険料計算書（上限2000万）'!$K$15="",0,IF($B44&lt;'信用保険料計算書（上限2000万）'!$K$15,0,IF($B44&gt;'信用保険料計算書（上限2000万）'!$K$16,0,1)))</f>
        <v>0</v>
      </c>
      <c r="K44" s="209">
        <f>IF(J44=1,HLOOKUP(C44,'計算書（第4回）'!$C$123:$U$124,2,TRUE),0)</f>
        <v>0</v>
      </c>
      <c r="L44" s="209">
        <f>IF('信用保険料計算書（上限2000万）'!$M$15="",0,IF($B44&lt;'信用保険料計算書（上限2000万）'!$M$15,0,IF($B44&gt;'信用保険料計算書（上限2000万）'!$M$16,0,1)))</f>
        <v>0</v>
      </c>
      <c r="M44" s="209">
        <f>IF(L44=1,HLOOKUP(C44,'計算書（第5回）'!$C$123:$U$124,2,TRUE),0)</f>
        <v>0</v>
      </c>
      <c r="N44" s="209">
        <f>IF('信用保険料計算書（上限2000万）'!$O$15="",0,IF($B44&lt;'信用保険料計算書（上限2000万）'!$O$15,0,IF($B44&gt;'信用保険料計算書（上限2000万）'!$O$16,0,1)))</f>
        <v>0</v>
      </c>
      <c r="O44" s="209">
        <f>IF(N44=1,HLOOKUP(C44,'計算書（第6回）'!$C$123:$U$124,2,TRUE),0)</f>
        <v>0</v>
      </c>
      <c r="P44" s="209">
        <f>IF('信用保険料計算書（上限2000万）'!$Q$15="",0,IF($B44&lt;'信用保険料計算書（上限2000万）'!$Q$15,0,IF($B44&gt;'信用保険料計算書（上限2000万）'!$Q$16,0,1)))</f>
        <v>0</v>
      </c>
      <c r="Q44" s="209">
        <f>IF(P44=1,HLOOKUP(C44,'計算書（第7回）'!$C$123:$U$124,2,TRUE),0)</f>
        <v>0</v>
      </c>
      <c r="R44" s="210"/>
      <c r="S44" s="211">
        <f>COUNTIF($AB$13:$AB$19,"&lt;=2014/9/1")</f>
        <v>0</v>
      </c>
      <c r="T44" s="178" t="e">
        <f t="shared" si="5"/>
        <v>#NUM!</v>
      </c>
      <c r="U44" s="181">
        <f t="shared" si="1"/>
        <v>0</v>
      </c>
      <c r="V44" s="182">
        <f t="shared" si="2"/>
        <v>0</v>
      </c>
      <c r="W44" s="245">
        <f t="shared" si="3"/>
        <v>0</v>
      </c>
      <c r="X44" s="183">
        <f>INT(SUM(W39:W44))</f>
        <v>0</v>
      </c>
    </row>
    <row r="45" spans="2:24">
      <c r="B45" s="214">
        <f t="shared" si="4"/>
        <v>41913</v>
      </c>
      <c r="C45" s="198">
        <f t="shared" si="0"/>
        <v>41883</v>
      </c>
      <c r="D45" s="209">
        <f>IF(B45&lt;'信用保険料計算書（上限2000万）'!$E$15,0,IF(B45&gt;'信用保険料計算書（上限2000万）'!$E$16,0,1))</f>
        <v>0</v>
      </c>
      <c r="E45" s="209">
        <f>IF(D45=1,HLOOKUP(C45,'計算書（第1回）'!$C$123:$U$124,2,TRUE),0)</f>
        <v>0</v>
      </c>
      <c r="F45" s="209">
        <f>IF('信用保険料計算書（上限2000万）'!$G$15="",0,IF($B45&lt;'信用保険料計算書（上限2000万）'!$G$15,0,IF($B45&gt;'信用保険料計算書（上限2000万）'!$G$16,0,1)))</f>
        <v>0</v>
      </c>
      <c r="G45" s="209">
        <f>IF(F45=1,HLOOKUP(C45,'計算書（第2回）'!$C$123:$U$124,2,TRUE),0)</f>
        <v>0</v>
      </c>
      <c r="H45" s="209">
        <f>IF('信用保険料計算書（上限2000万）'!$I$15="",0,IF($B45&lt;'信用保険料計算書（上限2000万）'!$I$15,0,IF($B45&gt;'信用保険料計算書（上限2000万）'!$I$16,0,1)))</f>
        <v>0</v>
      </c>
      <c r="I45" s="209">
        <f>IF(H45=1,HLOOKUP(C45,'計算書（第3回）'!$C$123:$U$124,2,TRUE),0)</f>
        <v>0</v>
      </c>
      <c r="J45" s="209">
        <f>IF('信用保険料計算書（上限2000万）'!$K$15="",0,IF($B45&lt;'信用保険料計算書（上限2000万）'!$K$15,0,IF($B45&gt;'信用保険料計算書（上限2000万）'!$K$16,0,1)))</f>
        <v>0</v>
      </c>
      <c r="K45" s="209">
        <f>IF(J45=1,HLOOKUP(C45,'計算書（第4回）'!$C$123:$U$124,2,TRUE),0)</f>
        <v>0</v>
      </c>
      <c r="L45" s="209">
        <f>IF('信用保険料計算書（上限2000万）'!$M$15="",0,IF($B45&lt;'信用保険料計算書（上限2000万）'!$M$15,0,IF($B45&gt;'信用保険料計算書（上限2000万）'!$M$16,0,1)))</f>
        <v>0</v>
      </c>
      <c r="M45" s="209">
        <f>IF(L45=1,HLOOKUP(C45,'計算書（第5回）'!$C$123:$U$124,2,TRUE),0)</f>
        <v>0</v>
      </c>
      <c r="N45" s="209">
        <f>IF('信用保険料計算書（上限2000万）'!$O$15="",0,IF($B45&lt;'信用保険料計算書（上限2000万）'!$O$15,0,IF($B45&gt;'信用保険料計算書（上限2000万）'!$O$16,0,1)))</f>
        <v>0</v>
      </c>
      <c r="O45" s="209">
        <f>IF(N45=1,HLOOKUP(C45,'計算書（第6回）'!$C$123:$U$124,2,TRUE),0)</f>
        <v>0</v>
      </c>
      <c r="P45" s="209">
        <f>IF('信用保険料計算書（上限2000万）'!$Q$15="",0,IF($B45&lt;'信用保険料計算書（上限2000万）'!$Q$15,0,IF($B45&gt;'信用保険料計算書（上限2000万）'!$Q$16,0,1)))</f>
        <v>0</v>
      </c>
      <c r="Q45" s="209">
        <f>IF(P45=1,HLOOKUP(C45,'計算書（第7回）'!$C$123:$U$124,2,TRUE),0)</f>
        <v>0</v>
      </c>
      <c r="R45" s="210"/>
      <c r="S45" s="211">
        <f>COUNTIF($AB$13:$AB$19,"&lt;=2014/10/1")</f>
        <v>0</v>
      </c>
      <c r="T45" s="178" t="e">
        <f t="shared" si="5"/>
        <v>#NUM!</v>
      </c>
      <c r="U45" s="181">
        <f t="shared" si="1"/>
        <v>0</v>
      </c>
      <c r="V45" s="182">
        <f t="shared" si="2"/>
        <v>0</v>
      </c>
      <c r="W45" s="245">
        <f t="shared" si="3"/>
        <v>0</v>
      </c>
      <c r="X45" s="182"/>
    </row>
    <row r="46" spans="2:24">
      <c r="B46" s="214">
        <f t="shared" si="4"/>
        <v>41944</v>
      </c>
      <c r="C46" s="198">
        <f t="shared" si="0"/>
        <v>41913</v>
      </c>
      <c r="D46" s="209">
        <f>IF(B46&lt;'信用保険料計算書（上限2000万）'!$E$15,0,IF(B46&gt;'信用保険料計算書（上限2000万）'!$E$16,0,1))</f>
        <v>0</v>
      </c>
      <c r="E46" s="209">
        <f>IF(D46=1,HLOOKUP(C46,'計算書（第1回）'!$C$123:$U$124,2,TRUE),0)</f>
        <v>0</v>
      </c>
      <c r="F46" s="209">
        <f>IF('信用保険料計算書（上限2000万）'!$G$15="",0,IF($B46&lt;'信用保険料計算書（上限2000万）'!$G$15,0,IF($B46&gt;'信用保険料計算書（上限2000万）'!$G$16,0,1)))</f>
        <v>0</v>
      </c>
      <c r="G46" s="209">
        <f>IF(F46=1,HLOOKUP(C46,'計算書（第2回）'!$C$123:$U$124,2,TRUE),0)</f>
        <v>0</v>
      </c>
      <c r="H46" s="209">
        <f>IF('信用保険料計算書（上限2000万）'!$I$15="",0,IF($B46&lt;'信用保険料計算書（上限2000万）'!$I$15,0,IF($B46&gt;'信用保険料計算書（上限2000万）'!$I$16,0,1)))</f>
        <v>0</v>
      </c>
      <c r="I46" s="209">
        <f>IF(H46=1,HLOOKUP(C46,'計算書（第3回）'!$C$123:$U$124,2,TRUE),0)</f>
        <v>0</v>
      </c>
      <c r="J46" s="209">
        <f>IF('信用保険料計算書（上限2000万）'!$K$15="",0,IF($B46&lt;'信用保険料計算書（上限2000万）'!$K$15,0,IF($B46&gt;'信用保険料計算書（上限2000万）'!$K$16,0,1)))</f>
        <v>0</v>
      </c>
      <c r="K46" s="209">
        <f>IF(J46=1,HLOOKUP(C46,'計算書（第4回）'!$C$123:$U$124,2,TRUE),0)</f>
        <v>0</v>
      </c>
      <c r="L46" s="209">
        <f>IF('信用保険料計算書（上限2000万）'!$M$15="",0,IF($B46&lt;'信用保険料計算書（上限2000万）'!$M$15,0,IF($B46&gt;'信用保険料計算書（上限2000万）'!$M$16,0,1)))</f>
        <v>0</v>
      </c>
      <c r="M46" s="209">
        <f>IF(L46=1,HLOOKUP(C46,'計算書（第5回）'!$C$123:$U$124,2,TRUE),0)</f>
        <v>0</v>
      </c>
      <c r="N46" s="209">
        <f>IF('信用保険料計算書（上限2000万）'!$O$15="",0,IF($B46&lt;'信用保険料計算書（上限2000万）'!$O$15,0,IF($B46&gt;'信用保険料計算書（上限2000万）'!$O$16,0,1)))</f>
        <v>0</v>
      </c>
      <c r="O46" s="209">
        <f>IF(N46=1,HLOOKUP(C46,'計算書（第6回）'!$C$123:$U$124,2,TRUE),0)</f>
        <v>0</v>
      </c>
      <c r="P46" s="209">
        <f>IF('信用保険料計算書（上限2000万）'!$Q$15="",0,IF($B46&lt;'信用保険料計算書（上限2000万）'!$Q$15,0,IF($B46&gt;'信用保険料計算書（上限2000万）'!$Q$16,0,1)))</f>
        <v>0</v>
      </c>
      <c r="Q46" s="209">
        <f>IF(P46=1,HLOOKUP(C46,'計算書（第7回）'!$C$123:$U$124,2,TRUE),0)</f>
        <v>0</v>
      </c>
      <c r="R46" s="210"/>
      <c r="S46" s="211">
        <f>COUNTIF($AB$13:$AB$19,"&lt;=2014/11/1")</f>
        <v>0</v>
      </c>
      <c r="T46" s="178" t="e">
        <f t="shared" si="5"/>
        <v>#NUM!</v>
      </c>
      <c r="U46" s="181">
        <f t="shared" si="1"/>
        <v>0</v>
      </c>
      <c r="V46" s="182">
        <f t="shared" si="2"/>
        <v>0</v>
      </c>
      <c r="W46" s="245">
        <f t="shared" si="3"/>
        <v>0</v>
      </c>
      <c r="X46" s="182"/>
    </row>
    <row r="47" spans="2:24">
      <c r="B47" s="214">
        <f t="shared" si="4"/>
        <v>41974</v>
      </c>
      <c r="C47" s="198">
        <f t="shared" si="0"/>
        <v>41944</v>
      </c>
      <c r="D47" s="209">
        <f>IF(B47&lt;'信用保険料計算書（上限2000万）'!$E$15,0,IF(B47&gt;'信用保険料計算書（上限2000万）'!$E$16,0,1))</f>
        <v>0</v>
      </c>
      <c r="E47" s="209">
        <f>IF(D47=1,HLOOKUP(C47,'計算書（第1回）'!$C$123:$U$124,2,TRUE),0)</f>
        <v>0</v>
      </c>
      <c r="F47" s="209">
        <f>IF('信用保険料計算書（上限2000万）'!$G$15="",0,IF($B47&lt;'信用保険料計算書（上限2000万）'!$G$15,0,IF($B47&gt;'信用保険料計算書（上限2000万）'!$G$16,0,1)))</f>
        <v>0</v>
      </c>
      <c r="G47" s="209">
        <f>IF(F47=1,HLOOKUP(C47,'計算書（第2回）'!$C$123:$U$124,2,TRUE),0)</f>
        <v>0</v>
      </c>
      <c r="H47" s="209">
        <f>IF('信用保険料計算書（上限2000万）'!$I$15="",0,IF($B47&lt;'信用保険料計算書（上限2000万）'!$I$15,0,IF($B47&gt;'信用保険料計算書（上限2000万）'!$I$16,0,1)))</f>
        <v>0</v>
      </c>
      <c r="I47" s="209">
        <f>IF(H47=1,HLOOKUP(C47,'計算書（第3回）'!$C$123:$U$124,2,TRUE),0)</f>
        <v>0</v>
      </c>
      <c r="J47" s="209">
        <f>IF('信用保険料計算書（上限2000万）'!$K$15="",0,IF($B47&lt;'信用保険料計算書（上限2000万）'!$K$15,0,IF($B47&gt;'信用保険料計算書（上限2000万）'!$K$16,0,1)))</f>
        <v>0</v>
      </c>
      <c r="K47" s="209">
        <f>IF(J47=1,HLOOKUP(C47,'計算書（第4回）'!$C$123:$U$124,2,TRUE),0)</f>
        <v>0</v>
      </c>
      <c r="L47" s="209">
        <f>IF('信用保険料計算書（上限2000万）'!$M$15="",0,IF($B47&lt;'信用保険料計算書（上限2000万）'!$M$15,0,IF($B47&gt;'信用保険料計算書（上限2000万）'!$M$16,0,1)))</f>
        <v>0</v>
      </c>
      <c r="M47" s="209">
        <f>IF(L47=1,HLOOKUP(C47,'計算書（第5回）'!$C$123:$U$124,2,TRUE),0)</f>
        <v>0</v>
      </c>
      <c r="N47" s="209">
        <f>IF('信用保険料計算書（上限2000万）'!$O$15="",0,IF($B47&lt;'信用保険料計算書（上限2000万）'!$O$15,0,IF($B47&gt;'信用保険料計算書（上限2000万）'!$O$16,0,1)))</f>
        <v>0</v>
      </c>
      <c r="O47" s="209">
        <f>IF(N47=1,HLOOKUP(C47,'計算書（第6回）'!$C$123:$U$124,2,TRUE),0)</f>
        <v>0</v>
      </c>
      <c r="P47" s="209">
        <f>IF('信用保険料計算書（上限2000万）'!$Q$15="",0,IF($B47&lt;'信用保険料計算書（上限2000万）'!$Q$15,0,IF($B47&gt;'信用保険料計算書（上限2000万）'!$Q$16,0,1)))</f>
        <v>0</v>
      </c>
      <c r="Q47" s="209">
        <f>IF(P47=1,HLOOKUP(C47,'計算書（第7回）'!$C$123:$U$124,2,TRUE),0)</f>
        <v>0</v>
      </c>
      <c r="R47" s="210"/>
      <c r="S47" s="211">
        <f>COUNTIF($AB$13:$AB$19,"&lt;=2014/12/1")</f>
        <v>0</v>
      </c>
      <c r="T47" s="178" t="e">
        <f t="shared" si="5"/>
        <v>#NUM!</v>
      </c>
      <c r="U47" s="181">
        <f t="shared" si="1"/>
        <v>0</v>
      </c>
      <c r="V47" s="182">
        <f t="shared" si="2"/>
        <v>0</v>
      </c>
      <c r="W47" s="245">
        <f t="shared" si="3"/>
        <v>0</v>
      </c>
      <c r="X47" s="182"/>
    </row>
    <row r="48" spans="2:24">
      <c r="B48" s="214">
        <f t="shared" si="4"/>
        <v>42005</v>
      </c>
      <c r="C48" s="198">
        <f t="shared" si="0"/>
        <v>41974</v>
      </c>
      <c r="D48" s="209">
        <f>IF(B48&lt;'信用保険料計算書（上限2000万）'!$E$15,0,IF(B48&gt;'信用保険料計算書（上限2000万）'!$E$16,0,1))</f>
        <v>0</v>
      </c>
      <c r="E48" s="209">
        <f>IF(D48=1,HLOOKUP(C48,'計算書（第1回）'!$C$123:$U$124,2,TRUE),0)</f>
        <v>0</v>
      </c>
      <c r="F48" s="209">
        <f>IF('信用保険料計算書（上限2000万）'!$G$15="",0,IF($B48&lt;'信用保険料計算書（上限2000万）'!$G$15,0,IF($B48&gt;'信用保険料計算書（上限2000万）'!$G$16,0,1)))</f>
        <v>0</v>
      </c>
      <c r="G48" s="209">
        <f>IF(F48=1,HLOOKUP(C48,'計算書（第2回）'!$C$123:$U$124,2,TRUE),0)</f>
        <v>0</v>
      </c>
      <c r="H48" s="209">
        <f>IF('信用保険料計算書（上限2000万）'!$I$15="",0,IF($B48&lt;'信用保険料計算書（上限2000万）'!$I$15,0,IF($B48&gt;'信用保険料計算書（上限2000万）'!$I$16,0,1)))</f>
        <v>0</v>
      </c>
      <c r="I48" s="209">
        <f>IF(H48=1,HLOOKUP(C48,'計算書（第3回）'!$C$123:$U$124,2,TRUE),0)</f>
        <v>0</v>
      </c>
      <c r="J48" s="209">
        <f>IF('信用保険料計算書（上限2000万）'!$K$15="",0,IF($B48&lt;'信用保険料計算書（上限2000万）'!$K$15,0,IF($B48&gt;'信用保険料計算書（上限2000万）'!$K$16,0,1)))</f>
        <v>0</v>
      </c>
      <c r="K48" s="209">
        <f>IF(J48=1,HLOOKUP(C48,'計算書（第4回）'!$C$123:$U$124,2,TRUE),0)</f>
        <v>0</v>
      </c>
      <c r="L48" s="209">
        <f>IF('信用保険料計算書（上限2000万）'!$M$15="",0,IF($B48&lt;'信用保険料計算書（上限2000万）'!$M$15,0,IF($B48&gt;'信用保険料計算書（上限2000万）'!$M$16,0,1)))</f>
        <v>0</v>
      </c>
      <c r="M48" s="209">
        <f>IF(L48=1,HLOOKUP(C48,'計算書（第5回）'!$C$123:$U$124,2,TRUE),0)</f>
        <v>0</v>
      </c>
      <c r="N48" s="209">
        <f>IF('信用保険料計算書（上限2000万）'!$O$15="",0,IF($B48&lt;'信用保険料計算書（上限2000万）'!$O$15,0,IF($B48&gt;'信用保険料計算書（上限2000万）'!$O$16,0,1)))</f>
        <v>0</v>
      </c>
      <c r="O48" s="209">
        <f>IF(N48=1,HLOOKUP(C48,'計算書（第6回）'!$C$123:$U$124,2,TRUE),0)</f>
        <v>0</v>
      </c>
      <c r="P48" s="209">
        <f>IF('信用保険料計算書（上限2000万）'!$Q$15="",0,IF($B48&lt;'信用保険料計算書（上限2000万）'!$Q$15,0,IF($B48&gt;'信用保険料計算書（上限2000万）'!$Q$16,0,1)))</f>
        <v>0</v>
      </c>
      <c r="Q48" s="209">
        <f>IF(P48=1,HLOOKUP(C48,'計算書（第7回）'!$C$123:$U$124,2,TRUE),0)</f>
        <v>0</v>
      </c>
      <c r="R48" s="210"/>
      <c r="S48" s="211">
        <f>COUNTIF($AB$13:$AB$19,"&lt;=2015/1/1")</f>
        <v>0</v>
      </c>
      <c r="T48" s="178" t="e">
        <f t="shared" si="5"/>
        <v>#NUM!</v>
      </c>
      <c r="U48" s="181">
        <f t="shared" si="1"/>
        <v>0</v>
      </c>
      <c r="V48" s="182">
        <f t="shared" si="2"/>
        <v>0</v>
      </c>
      <c r="W48" s="245">
        <f t="shared" si="3"/>
        <v>0</v>
      </c>
      <c r="X48" s="182"/>
    </row>
    <row r="49" spans="2:24">
      <c r="B49" s="214">
        <f t="shared" si="4"/>
        <v>42036</v>
      </c>
      <c r="C49" s="198">
        <f t="shared" si="0"/>
        <v>42005</v>
      </c>
      <c r="D49" s="209">
        <f>IF(B49&lt;'信用保険料計算書（上限2000万）'!$E$15,0,IF(B49&gt;'信用保険料計算書（上限2000万）'!$E$16,0,1))</f>
        <v>0</v>
      </c>
      <c r="E49" s="209">
        <f>IF(D49=1,HLOOKUP(C49,'計算書（第1回）'!$C$123:$U$124,2,TRUE),0)</f>
        <v>0</v>
      </c>
      <c r="F49" s="209">
        <f>IF('信用保険料計算書（上限2000万）'!$G$15="",0,IF($B49&lt;'信用保険料計算書（上限2000万）'!$G$15,0,IF($B49&gt;'信用保険料計算書（上限2000万）'!$G$16,0,1)))</f>
        <v>0</v>
      </c>
      <c r="G49" s="209">
        <f>IF(F49=1,HLOOKUP(C49,'計算書（第2回）'!$C$123:$U$124,2,TRUE),0)</f>
        <v>0</v>
      </c>
      <c r="H49" s="209">
        <f>IF('信用保険料計算書（上限2000万）'!$I$15="",0,IF($B49&lt;'信用保険料計算書（上限2000万）'!$I$15,0,IF($B49&gt;'信用保険料計算書（上限2000万）'!$I$16,0,1)))</f>
        <v>0</v>
      </c>
      <c r="I49" s="209">
        <f>IF(H49=1,HLOOKUP(C49,'計算書（第3回）'!$C$123:$U$124,2,TRUE),0)</f>
        <v>0</v>
      </c>
      <c r="J49" s="209">
        <f>IF('信用保険料計算書（上限2000万）'!$K$15="",0,IF($B49&lt;'信用保険料計算書（上限2000万）'!$K$15,0,IF($B49&gt;'信用保険料計算書（上限2000万）'!$K$16,0,1)))</f>
        <v>0</v>
      </c>
      <c r="K49" s="209">
        <f>IF(J49=1,HLOOKUP(C49,'計算書（第4回）'!$C$123:$U$124,2,TRUE),0)</f>
        <v>0</v>
      </c>
      <c r="L49" s="209">
        <f>IF('信用保険料計算書（上限2000万）'!$M$15="",0,IF($B49&lt;'信用保険料計算書（上限2000万）'!$M$15,0,IF($B49&gt;'信用保険料計算書（上限2000万）'!$M$16,0,1)))</f>
        <v>0</v>
      </c>
      <c r="M49" s="209">
        <f>IF(L49=1,HLOOKUP(C49,'計算書（第5回）'!$C$123:$U$124,2,TRUE),0)</f>
        <v>0</v>
      </c>
      <c r="N49" s="209">
        <f>IF('信用保険料計算書（上限2000万）'!$O$15="",0,IF($B49&lt;'信用保険料計算書（上限2000万）'!$O$15,0,IF($B49&gt;'信用保険料計算書（上限2000万）'!$O$16,0,1)))</f>
        <v>0</v>
      </c>
      <c r="O49" s="209">
        <f>IF(N49=1,HLOOKUP(C49,'計算書（第6回）'!$C$123:$U$124,2,TRUE),0)</f>
        <v>0</v>
      </c>
      <c r="P49" s="209">
        <f>IF('信用保険料計算書（上限2000万）'!$Q$15="",0,IF($B49&lt;'信用保険料計算書（上限2000万）'!$Q$15,0,IF($B49&gt;'信用保険料計算書（上限2000万）'!$Q$16,0,1)))</f>
        <v>0</v>
      </c>
      <c r="Q49" s="209">
        <f>IF(P49=1,HLOOKUP(C49,'計算書（第7回）'!$C$123:$U$124,2,TRUE),0)</f>
        <v>0</v>
      </c>
      <c r="R49" s="210"/>
      <c r="S49" s="211">
        <f>COUNTIF($AB$13:$AB$19,"&lt;=2015/2/1")</f>
        <v>0</v>
      </c>
      <c r="T49" s="178" t="e">
        <f t="shared" si="5"/>
        <v>#NUM!</v>
      </c>
      <c r="U49" s="181">
        <f t="shared" si="1"/>
        <v>0</v>
      </c>
      <c r="V49" s="182">
        <f t="shared" si="2"/>
        <v>0</v>
      </c>
      <c r="W49" s="245">
        <f t="shared" si="3"/>
        <v>0</v>
      </c>
      <c r="X49" s="182"/>
    </row>
    <row r="50" spans="2:24">
      <c r="B50" s="214">
        <f t="shared" si="4"/>
        <v>42064</v>
      </c>
      <c r="C50" s="198">
        <f t="shared" si="0"/>
        <v>42036</v>
      </c>
      <c r="D50" s="209">
        <f>IF(B50&lt;'信用保険料計算書（上限2000万）'!$E$15,0,IF(B50&gt;'信用保険料計算書（上限2000万）'!$E$16,0,1))</f>
        <v>0</v>
      </c>
      <c r="E50" s="209">
        <f>IF(D50=1,HLOOKUP(C50,'計算書（第1回）'!$C$123:$U$124,2,TRUE),0)</f>
        <v>0</v>
      </c>
      <c r="F50" s="209">
        <f>IF('信用保険料計算書（上限2000万）'!$G$15="",0,IF($B50&lt;'信用保険料計算書（上限2000万）'!$G$15,0,IF($B50&gt;'信用保険料計算書（上限2000万）'!$G$16,0,1)))</f>
        <v>0</v>
      </c>
      <c r="G50" s="209">
        <f>IF(F50=1,HLOOKUP(C50,'計算書（第2回）'!$C$123:$U$124,2,TRUE),0)</f>
        <v>0</v>
      </c>
      <c r="H50" s="209">
        <f>IF('信用保険料計算書（上限2000万）'!$I$15="",0,IF($B50&lt;'信用保険料計算書（上限2000万）'!$I$15,0,IF($B50&gt;'信用保険料計算書（上限2000万）'!$I$16,0,1)))</f>
        <v>0</v>
      </c>
      <c r="I50" s="209">
        <f>IF(H50=1,HLOOKUP(C50,'計算書（第3回）'!$C$123:$U$124,2,TRUE),0)</f>
        <v>0</v>
      </c>
      <c r="J50" s="209">
        <f>IF('信用保険料計算書（上限2000万）'!$K$15="",0,IF($B50&lt;'信用保険料計算書（上限2000万）'!$K$15,0,IF($B50&gt;'信用保険料計算書（上限2000万）'!$K$16,0,1)))</f>
        <v>0</v>
      </c>
      <c r="K50" s="209">
        <f>IF(J50=1,HLOOKUP(C50,'計算書（第4回）'!$C$123:$U$124,2,TRUE),0)</f>
        <v>0</v>
      </c>
      <c r="L50" s="209">
        <f>IF('信用保険料計算書（上限2000万）'!$M$15="",0,IF($B50&lt;'信用保険料計算書（上限2000万）'!$M$15,0,IF($B50&gt;'信用保険料計算書（上限2000万）'!$M$16,0,1)))</f>
        <v>0</v>
      </c>
      <c r="M50" s="209">
        <f>IF(L50=1,HLOOKUP(C50,'計算書（第5回）'!$C$123:$U$124,2,TRUE),0)</f>
        <v>0</v>
      </c>
      <c r="N50" s="209">
        <f>IF('信用保険料計算書（上限2000万）'!$O$15="",0,IF($B50&lt;'信用保険料計算書（上限2000万）'!$O$15,0,IF($B50&gt;'信用保険料計算書（上限2000万）'!$O$16,0,1)))</f>
        <v>0</v>
      </c>
      <c r="O50" s="209">
        <f>IF(N50=1,HLOOKUP(C50,'計算書（第6回）'!$C$123:$U$124,2,TRUE),0)</f>
        <v>0</v>
      </c>
      <c r="P50" s="209">
        <f>IF('信用保険料計算書（上限2000万）'!$Q$15="",0,IF($B50&lt;'信用保険料計算書（上限2000万）'!$Q$15,0,IF($B50&gt;'信用保険料計算書（上限2000万）'!$Q$16,0,1)))</f>
        <v>0</v>
      </c>
      <c r="Q50" s="209">
        <f>IF(P50=1,HLOOKUP(C50,'計算書（第7回）'!$C$123:$U$124,2,TRUE),0)</f>
        <v>0</v>
      </c>
      <c r="R50" s="210"/>
      <c r="S50" s="211">
        <f>COUNTIF($AB$13:$AB$19,"&lt;=2015/3/1")</f>
        <v>0</v>
      </c>
      <c r="T50" s="178" t="e">
        <f t="shared" si="5"/>
        <v>#NUM!</v>
      </c>
      <c r="U50" s="181">
        <f t="shared" si="1"/>
        <v>0</v>
      </c>
      <c r="V50" s="182">
        <f t="shared" si="2"/>
        <v>0</v>
      </c>
      <c r="W50" s="245">
        <f t="shared" si="3"/>
        <v>0</v>
      </c>
      <c r="X50" s="183">
        <f>INT(SUM(W45:W50))</f>
        <v>0</v>
      </c>
    </row>
    <row r="51" spans="2:24">
      <c r="B51" s="214">
        <f t="shared" si="4"/>
        <v>42095</v>
      </c>
      <c r="C51" s="198">
        <f t="shared" si="0"/>
        <v>42064</v>
      </c>
      <c r="D51" s="209">
        <f>IF(B51&lt;'信用保険料計算書（上限2000万）'!$E$15,0,IF(B51&gt;'信用保険料計算書（上限2000万）'!$E$16,0,1))</f>
        <v>0</v>
      </c>
      <c r="E51" s="209">
        <f>IF(D51=1,HLOOKUP(C51,'計算書（第1回）'!$C$123:$U$124,2,TRUE),0)</f>
        <v>0</v>
      </c>
      <c r="F51" s="209">
        <f>IF('信用保険料計算書（上限2000万）'!$G$15="",0,IF($B51&lt;'信用保険料計算書（上限2000万）'!$G$15,0,IF($B51&gt;'信用保険料計算書（上限2000万）'!$G$16,0,1)))</f>
        <v>0</v>
      </c>
      <c r="G51" s="209">
        <f>IF(F51=1,HLOOKUP(C51,'計算書（第2回）'!$C$123:$U$124,2,TRUE),0)</f>
        <v>0</v>
      </c>
      <c r="H51" s="209">
        <f>IF('信用保険料計算書（上限2000万）'!$I$15="",0,IF($B51&lt;'信用保険料計算書（上限2000万）'!$I$15,0,IF($B51&gt;'信用保険料計算書（上限2000万）'!$I$16,0,1)))</f>
        <v>0</v>
      </c>
      <c r="I51" s="209">
        <f>IF(H51=1,HLOOKUP(C51,'計算書（第3回）'!$C$123:$U$124,2,TRUE),0)</f>
        <v>0</v>
      </c>
      <c r="J51" s="209">
        <f>IF('信用保険料計算書（上限2000万）'!$K$15="",0,IF($B51&lt;'信用保険料計算書（上限2000万）'!$K$15,0,IF($B51&gt;'信用保険料計算書（上限2000万）'!$K$16,0,1)))</f>
        <v>0</v>
      </c>
      <c r="K51" s="209">
        <f>IF(J51=1,HLOOKUP(C51,'計算書（第4回）'!$C$123:$U$124,2,TRUE),0)</f>
        <v>0</v>
      </c>
      <c r="L51" s="209">
        <f>IF('信用保険料計算書（上限2000万）'!$M$15="",0,IF($B51&lt;'信用保険料計算書（上限2000万）'!$M$15,0,IF($B51&gt;'信用保険料計算書（上限2000万）'!$M$16,0,1)))</f>
        <v>0</v>
      </c>
      <c r="M51" s="209">
        <f>IF(L51=1,HLOOKUP(C51,'計算書（第5回）'!$C$123:$U$124,2,TRUE),0)</f>
        <v>0</v>
      </c>
      <c r="N51" s="209">
        <f>IF('信用保険料計算書（上限2000万）'!$O$15="",0,IF($B51&lt;'信用保険料計算書（上限2000万）'!$O$15,0,IF($B51&gt;'信用保険料計算書（上限2000万）'!$O$16,0,1)))</f>
        <v>0</v>
      </c>
      <c r="O51" s="209">
        <f>IF(N51=1,HLOOKUP(C51,'計算書（第6回）'!$C$123:$U$124,2,TRUE),0)</f>
        <v>0</v>
      </c>
      <c r="P51" s="209">
        <f>IF('信用保険料計算書（上限2000万）'!$Q$15="",0,IF($B51&lt;'信用保険料計算書（上限2000万）'!$Q$15,0,IF($B51&gt;'信用保険料計算書（上限2000万）'!$Q$16,0,1)))</f>
        <v>0</v>
      </c>
      <c r="Q51" s="209">
        <f>IF(P51=1,HLOOKUP(C51,'計算書（第7回）'!$C$123:$U$124,2,TRUE),0)</f>
        <v>0</v>
      </c>
      <c r="R51" s="210"/>
      <c r="S51" s="211">
        <f>COUNTIF($AB$13:$AB$19,"&lt;=2015/4/1")</f>
        <v>0</v>
      </c>
      <c r="T51" s="178" t="e">
        <f t="shared" si="5"/>
        <v>#NUM!</v>
      </c>
      <c r="U51" s="181">
        <f t="shared" si="1"/>
        <v>0</v>
      </c>
      <c r="V51" s="182">
        <f t="shared" si="2"/>
        <v>0</v>
      </c>
      <c r="W51" s="245">
        <f t="shared" si="3"/>
        <v>0</v>
      </c>
      <c r="X51" s="182"/>
    </row>
    <row r="52" spans="2:24">
      <c r="B52" s="214">
        <f t="shared" si="4"/>
        <v>42125</v>
      </c>
      <c r="C52" s="198">
        <f t="shared" si="0"/>
        <v>42095</v>
      </c>
      <c r="D52" s="209">
        <f>IF(B52&lt;'信用保険料計算書（上限2000万）'!$E$15,0,IF(B52&gt;'信用保険料計算書（上限2000万）'!$E$16,0,1))</f>
        <v>0</v>
      </c>
      <c r="E52" s="209">
        <f>IF(D52=1,HLOOKUP(C52,'計算書（第1回）'!$C$123:$U$124,2,TRUE),0)</f>
        <v>0</v>
      </c>
      <c r="F52" s="209">
        <f>IF('信用保険料計算書（上限2000万）'!$G$15="",0,IF($B52&lt;'信用保険料計算書（上限2000万）'!$G$15,0,IF($B52&gt;'信用保険料計算書（上限2000万）'!$G$16,0,1)))</f>
        <v>0</v>
      </c>
      <c r="G52" s="209">
        <f>IF(F52=1,HLOOKUP(C52,'計算書（第2回）'!$C$123:$U$124,2,TRUE),0)</f>
        <v>0</v>
      </c>
      <c r="H52" s="209">
        <f>IF('信用保険料計算書（上限2000万）'!$I$15="",0,IF($B52&lt;'信用保険料計算書（上限2000万）'!$I$15,0,IF($B52&gt;'信用保険料計算書（上限2000万）'!$I$16,0,1)))</f>
        <v>0</v>
      </c>
      <c r="I52" s="209">
        <f>IF(H52=1,HLOOKUP(C52,'計算書（第3回）'!$C$123:$U$124,2,TRUE),0)</f>
        <v>0</v>
      </c>
      <c r="J52" s="209">
        <f>IF('信用保険料計算書（上限2000万）'!$K$15="",0,IF($B52&lt;'信用保険料計算書（上限2000万）'!$K$15,0,IF($B52&gt;'信用保険料計算書（上限2000万）'!$K$16,0,1)))</f>
        <v>0</v>
      </c>
      <c r="K52" s="209">
        <f>IF(J52=1,HLOOKUP(C52,'計算書（第4回）'!$C$123:$U$124,2,TRUE),0)</f>
        <v>0</v>
      </c>
      <c r="L52" s="209">
        <f>IF('信用保険料計算書（上限2000万）'!$M$15="",0,IF($B52&lt;'信用保険料計算書（上限2000万）'!$M$15,0,IF($B52&gt;'信用保険料計算書（上限2000万）'!$M$16,0,1)))</f>
        <v>0</v>
      </c>
      <c r="M52" s="209">
        <f>IF(L52=1,HLOOKUP(C52,'計算書（第5回）'!$C$123:$U$124,2,TRUE),0)</f>
        <v>0</v>
      </c>
      <c r="N52" s="209">
        <f>IF('信用保険料計算書（上限2000万）'!$O$15="",0,IF($B52&lt;'信用保険料計算書（上限2000万）'!$O$15,0,IF($B52&gt;'信用保険料計算書（上限2000万）'!$O$16,0,1)))</f>
        <v>0</v>
      </c>
      <c r="O52" s="209">
        <f>IF(N52=1,HLOOKUP(C52,'計算書（第6回）'!$C$123:$U$124,2,TRUE),0)</f>
        <v>0</v>
      </c>
      <c r="P52" s="209">
        <f>IF('信用保険料計算書（上限2000万）'!$Q$15="",0,IF($B52&lt;'信用保険料計算書（上限2000万）'!$Q$15,0,IF($B52&gt;'信用保険料計算書（上限2000万）'!$Q$16,0,1)))</f>
        <v>0</v>
      </c>
      <c r="Q52" s="209">
        <f>IF(P52=1,HLOOKUP(C52,'計算書（第7回）'!$C$123:$U$124,2,TRUE),0)</f>
        <v>0</v>
      </c>
      <c r="R52" s="210"/>
      <c r="S52" s="211">
        <f>COUNTIF($AB$13:$AB$19,"&lt;=2015/5/1")</f>
        <v>0</v>
      </c>
      <c r="T52" s="178" t="e">
        <f t="shared" si="5"/>
        <v>#NUM!</v>
      </c>
      <c r="U52" s="181">
        <f t="shared" si="1"/>
        <v>0</v>
      </c>
      <c r="V52" s="182">
        <f t="shared" si="2"/>
        <v>0</v>
      </c>
      <c r="W52" s="245">
        <f t="shared" si="3"/>
        <v>0</v>
      </c>
      <c r="X52" s="182"/>
    </row>
    <row r="53" spans="2:24">
      <c r="B53" s="214">
        <f t="shared" si="4"/>
        <v>42156</v>
      </c>
      <c r="C53" s="198">
        <f t="shared" si="0"/>
        <v>42125</v>
      </c>
      <c r="D53" s="209">
        <f>IF(B53&lt;'信用保険料計算書（上限2000万）'!$E$15,0,IF(B53&gt;'信用保険料計算書（上限2000万）'!$E$16,0,1))</f>
        <v>0</v>
      </c>
      <c r="E53" s="209">
        <f>IF(D53=1,HLOOKUP(C53,'計算書（第1回）'!$C$123:$U$124,2,TRUE),0)</f>
        <v>0</v>
      </c>
      <c r="F53" s="209">
        <f>IF('信用保険料計算書（上限2000万）'!$G$15="",0,IF($B53&lt;'信用保険料計算書（上限2000万）'!$G$15,0,IF($B53&gt;'信用保険料計算書（上限2000万）'!$G$16,0,1)))</f>
        <v>0</v>
      </c>
      <c r="G53" s="209">
        <f>IF(F53=1,HLOOKUP(C53,'計算書（第2回）'!$C$123:$U$124,2,TRUE),0)</f>
        <v>0</v>
      </c>
      <c r="H53" s="209">
        <f>IF('信用保険料計算書（上限2000万）'!$I$15="",0,IF($B53&lt;'信用保険料計算書（上限2000万）'!$I$15,0,IF($B53&gt;'信用保険料計算書（上限2000万）'!$I$16,0,1)))</f>
        <v>0</v>
      </c>
      <c r="I53" s="209">
        <f>IF(H53=1,HLOOKUP(C53,'計算書（第3回）'!$C$123:$U$124,2,TRUE),0)</f>
        <v>0</v>
      </c>
      <c r="J53" s="209">
        <f>IF('信用保険料計算書（上限2000万）'!$K$15="",0,IF($B53&lt;'信用保険料計算書（上限2000万）'!$K$15,0,IF($B53&gt;'信用保険料計算書（上限2000万）'!$K$16,0,1)))</f>
        <v>0</v>
      </c>
      <c r="K53" s="209">
        <f>IF(J53=1,HLOOKUP(C53,'計算書（第4回）'!$C$123:$U$124,2,TRUE),0)</f>
        <v>0</v>
      </c>
      <c r="L53" s="209">
        <f>IF('信用保険料計算書（上限2000万）'!$M$15="",0,IF($B53&lt;'信用保険料計算書（上限2000万）'!$M$15,0,IF($B53&gt;'信用保険料計算書（上限2000万）'!$M$16,0,1)))</f>
        <v>0</v>
      </c>
      <c r="M53" s="209">
        <f>IF(L53=1,HLOOKUP(C53,'計算書（第5回）'!$C$123:$U$124,2,TRUE),0)</f>
        <v>0</v>
      </c>
      <c r="N53" s="209">
        <f>IF('信用保険料計算書（上限2000万）'!$O$15="",0,IF($B53&lt;'信用保険料計算書（上限2000万）'!$O$15,0,IF($B53&gt;'信用保険料計算書（上限2000万）'!$O$16,0,1)))</f>
        <v>0</v>
      </c>
      <c r="O53" s="209">
        <f>IF(N53=1,HLOOKUP(C53,'計算書（第6回）'!$C$123:$U$124,2,TRUE),0)</f>
        <v>0</v>
      </c>
      <c r="P53" s="209">
        <f>IF('信用保険料計算書（上限2000万）'!$Q$15="",0,IF($B53&lt;'信用保険料計算書（上限2000万）'!$Q$15,0,IF($B53&gt;'信用保険料計算書（上限2000万）'!$Q$16,0,1)))</f>
        <v>0</v>
      </c>
      <c r="Q53" s="209">
        <f>IF(P53=1,HLOOKUP(C53,'計算書（第7回）'!$C$123:$U$124,2,TRUE),0)</f>
        <v>0</v>
      </c>
      <c r="R53" s="210"/>
      <c r="S53" s="211">
        <f>COUNTIF($AB$13:$AB$19,"&lt;=2015/6/1")</f>
        <v>0</v>
      </c>
      <c r="T53" s="178" t="e">
        <f t="shared" si="5"/>
        <v>#NUM!</v>
      </c>
      <c r="U53" s="181">
        <f t="shared" si="1"/>
        <v>0</v>
      </c>
      <c r="V53" s="182">
        <f t="shared" si="2"/>
        <v>0</v>
      </c>
      <c r="W53" s="245">
        <f t="shared" si="3"/>
        <v>0</v>
      </c>
      <c r="X53" s="182"/>
    </row>
    <row r="54" spans="2:24">
      <c r="B54" s="214">
        <f t="shared" si="4"/>
        <v>42186</v>
      </c>
      <c r="C54" s="198">
        <f t="shared" si="0"/>
        <v>42156</v>
      </c>
      <c r="D54" s="209">
        <f>IF(B54&lt;'信用保険料計算書（上限2000万）'!$E$15,0,IF(B54&gt;'信用保険料計算書（上限2000万）'!$E$16,0,1))</f>
        <v>0</v>
      </c>
      <c r="E54" s="209">
        <f>IF(D54=1,HLOOKUP(C54,'計算書（第1回）'!$C$123:$U$124,2,TRUE),0)</f>
        <v>0</v>
      </c>
      <c r="F54" s="209">
        <f>IF('信用保険料計算書（上限2000万）'!$G$15="",0,IF($B54&lt;'信用保険料計算書（上限2000万）'!$G$15,0,IF($B54&gt;'信用保険料計算書（上限2000万）'!$G$16,0,1)))</f>
        <v>0</v>
      </c>
      <c r="G54" s="209">
        <f>IF(F54=1,HLOOKUP(C54,'計算書（第2回）'!$C$123:$U$124,2,TRUE),0)</f>
        <v>0</v>
      </c>
      <c r="H54" s="209">
        <f>IF('信用保険料計算書（上限2000万）'!$I$15="",0,IF($B54&lt;'信用保険料計算書（上限2000万）'!$I$15,0,IF($B54&gt;'信用保険料計算書（上限2000万）'!$I$16,0,1)))</f>
        <v>0</v>
      </c>
      <c r="I54" s="209">
        <f>IF(H54=1,HLOOKUP(C54,'計算書（第3回）'!$C$123:$U$124,2,TRUE),0)</f>
        <v>0</v>
      </c>
      <c r="J54" s="209">
        <f>IF('信用保険料計算書（上限2000万）'!$K$15="",0,IF($B54&lt;'信用保険料計算書（上限2000万）'!$K$15,0,IF($B54&gt;'信用保険料計算書（上限2000万）'!$K$16,0,1)))</f>
        <v>0</v>
      </c>
      <c r="K54" s="209">
        <f>IF(J54=1,HLOOKUP(C54,'計算書（第4回）'!$C$123:$U$124,2,TRUE),0)</f>
        <v>0</v>
      </c>
      <c r="L54" s="209">
        <f>IF('信用保険料計算書（上限2000万）'!$M$15="",0,IF($B54&lt;'信用保険料計算書（上限2000万）'!$M$15,0,IF($B54&gt;'信用保険料計算書（上限2000万）'!$M$16,0,1)))</f>
        <v>0</v>
      </c>
      <c r="M54" s="209">
        <f>IF(L54=1,HLOOKUP(C54,'計算書（第5回）'!$C$123:$U$124,2,TRUE),0)</f>
        <v>0</v>
      </c>
      <c r="N54" s="209">
        <f>IF('信用保険料計算書（上限2000万）'!$O$15="",0,IF($B54&lt;'信用保険料計算書（上限2000万）'!$O$15,0,IF($B54&gt;'信用保険料計算書（上限2000万）'!$O$16,0,1)))</f>
        <v>0</v>
      </c>
      <c r="O54" s="209">
        <f>IF(N54=1,HLOOKUP(C54,'計算書（第6回）'!$C$123:$U$124,2,TRUE),0)</f>
        <v>0</v>
      </c>
      <c r="P54" s="209">
        <f>IF('信用保険料計算書（上限2000万）'!$Q$15="",0,IF($B54&lt;'信用保険料計算書（上限2000万）'!$Q$15,0,IF($B54&gt;'信用保険料計算書（上限2000万）'!$Q$16,0,1)))</f>
        <v>0</v>
      </c>
      <c r="Q54" s="209">
        <f>IF(P54=1,HLOOKUP(C54,'計算書（第7回）'!$C$123:$U$124,2,TRUE),0)</f>
        <v>0</v>
      </c>
      <c r="R54" s="210"/>
      <c r="S54" s="211">
        <f>COUNTIF($AB$13:$AB$19,"&lt;=2015/7/1")</f>
        <v>0</v>
      </c>
      <c r="T54" s="178" t="e">
        <f t="shared" si="5"/>
        <v>#NUM!</v>
      </c>
      <c r="U54" s="181">
        <f t="shared" si="1"/>
        <v>0</v>
      </c>
      <c r="V54" s="182">
        <f t="shared" si="2"/>
        <v>0</v>
      </c>
      <c r="W54" s="245">
        <f t="shared" si="3"/>
        <v>0</v>
      </c>
      <c r="X54" s="182"/>
    </row>
    <row r="55" spans="2:24">
      <c r="B55" s="214">
        <f t="shared" si="4"/>
        <v>42217</v>
      </c>
      <c r="C55" s="198">
        <f t="shared" si="0"/>
        <v>42186</v>
      </c>
      <c r="D55" s="209">
        <f>IF(B55&lt;'信用保険料計算書（上限2000万）'!$E$15,0,IF(B55&gt;'信用保険料計算書（上限2000万）'!$E$16,0,1))</f>
        <v>0</v>
      </c>
      <c r="E55" s="209">
        <f>IF(D55=1,HLOOKUP(C55,'計算書（第1回）'!$C$123:$U$124,2,TRUE),0)</f>
        <v>0</v>
      </c>
      <c r="F55" s="209">
        <f>IF('信用保険料計算書（上限2000万）'!$G$15="",0,IF($B55&lt;'信用保険料計算書（上限2000万）'!$G$15,0,IF($B55&gt;'信用保険料計算書（上限2000万）'!$G$16,0,1)))</f>
        <v>0</v>
      </c>
      <c r="G55" s="209">
        <f>IF(F55=1,HLOOKUP(C55,'計算書（第2回）'!$C$123:$U$124,2,TRUE),0)</f>
        <v>0</v>
      </c>
      <c r="H55" s="209">
        <f>IF('信用保険料計算書（上限2000万）'!$I$15="",0,IF($B55&lt;'信用保険料計算書（上限2000万）'!$I$15,0,IF($B55&gt;'信用保険料計算書（上限2000万）'!$I$16,0,1)))</f>
        <v>0</v>
      </c>
      <c r="I55" s="209">
        <f>IF(H55=1,HLOOKUP(C55,'計算書（第3回）'!$C$123:$U$124,2,TRUE),0)</f>
        <v>0</v>
      </c>
      <c r="J55" s="209">
        <f>IF('信用保険料計算書（上限2000万）'!$K$15="",0,IF($B55&lt;'信用保険料計算書（上限2000万）'!$K$15,0,IF($B55&gt;'信用保険料計算書（上限2000万）'!$K$16,0,1)))</f>
        <v>0</v>
      </c>
      <c r="K55" s="209">
        <f>IF(J55=1,HLOOKUP(C55,'計算書（第4回）'!$C$123:$U$124,2,TRUE),0)</f>
        <v>0</v>
      </c>
      <c r="L55" s="209">
        <f>IF('信用保険料計算書（上限2000万）'!$M$15="",0,IF($B55&lt;'信用保険料計算書（上限2000万）'!$M$15,0,IF($B55&gt;'信用保険料計算書（上限2000万）'!$M$16,0,1)))</f>
        <v>0</v>
      </c>
      <c r="M55" s="209">
        <f>IF(L55=1,HLOOKUP(C55,'計算書（第5回）'!$C$123:$U$124,2,TRUE),0)</f>
        <v>0</v>
      </c>
      <c r="N55" s="209">
        <f>IF('信用保険料計算書（上限2000万）'!$O$15="",0,IF($B55&lt;'信用保険料計算書（上限2000万）'!$O$15,0,IF($B55&gt;'信用保険料計算書（上限2000万）'!$O$16,0,1)))</f>
        <v>0</v>
      </c>
      <c r="O55" s="209">
        <f>IF(N55=1,HLOOKUP(C55,'計算書（第6回）'!$C$123:$U$124,2,TRUE),0)</f>
        <v>0</v>
      </c>
      <c r="P55" s="209">
        <f>IF('信用保険料計算書（上限2000万）'!$Q$15="",0,IF($B55&lt;'信用保険料計算書（上限2000万）'!$Q$15,0,IF($B55&gt;'信用保険料計算書（上限2000万）'!$Q$16,0,1)))</f>
        <v>0</v>
      </c>
      <c r="Q55" s="209">
        <f>IF(P55=1,HLOOKUP(C55,'計算書（第7回）'!$C$123:$U$124,2,TRUE),0)</f>
        <v>0</v>
      </c>
      <c r="R55" s="210"/>
      <c r="S55" s="211">
        <f>COUNTIF($AB$13:$AB$19,"&lt;=2015/8/1")</f>
        <v>0</v>
      </c>
      <c r="T55" s="178" t="e">
        <f t="shared" si="5"/>
        <v>#NUM!</v>
      </c>
      <c r="U55" s="181">
        <f t="shared" si="1"/>
        <v>0</v>
      </c>
      <c r="V55" s="182">
        <f t="shared" si="2"/>
        <v>0</v>
      </c>
      <c r="W55" s="245">
        <f t="shared" si="3"/>
        <v>0</v>
      </c>
      <c r="X55" s="182"/>
    </row>
    <row r="56" spans="2:24">
      <c r="B56" s="214">
        <f t="shared" si="4"/>
        <v>42248</v>
      </c>
      <c r="C56" s="198">
        <f t="shared" si="0"/>
        <v>42217</v>
      </c>
      <c r="D56" s="209">
        <f>IF(B56&lt;'信用保険料計算書（上限2000万）'!$E$15,0,IF(B56&gt;'信用保険料計算書（上限2000万）'!$E$16,0,1))</f>
        <v>0</v>
      </c>
      <c r="E56" s="209">
        <f>IF(D56=1,HLOOKUP(C56,'計算書（第1回）'!$C$123:$U$124,2,TRUE),0)</f>
        <v>0</v>
      </c>
      <c r="F56" s="209">
        <f>IF('信用保険料計算書（上限2000万）'!$G$15="",0,IF($B56&lt;'信用保険料計算書（上限2000万）'!$G$15,0,IF($B56&gt;'信用保険料計算書（上限2000万）'!$G$16,0,1)))</f>
        <v>0</v>
      </c>
      <c r="G56" s="209">
        <f>IF(F56=1,HLOOKUP(C56,'計算書（第2回）'!$C$123:$U$124,2,TRUE),0)</f>
        <v>0</v>
      </c>
      <c r="H56" s="209">
        <f>IF('信用保険料計算書（上限2000万）'!$I$15="",0,IF($B56&lt;'信用保険料計算書（上限2000万）'!$I$15,0,IF($B56&gt;'信用保険料計算書（上限2000万）'!$I$16,0,1)))</f>
        <v>0</v>
      </c>
      <c r="I56" s="209">
        <f>IF(H56=1,HLOOKUP(C56,'計算書（第3回）'!$C$123:$U$124,2,TRUE),0)</f>
        <v>0</v>
      </c>
      <c r="J56" s="209">
        <f>IF('信用保険料計算書（上限2000万）'!$K$15="",0,IF($B56&lt;'信用保険料計算書（上限2000万）'!$K$15,0,IF($B56&gt;'信用保険料計算書（上限2000万）'!$K$16,0,1)))</f>
        <v>0</v>
      </c>
      <c r="K56" s="209">
        <f>IF(J56=1,HLOOKUP(C56,'計算書（第4回）'!$C$123:$U$124,2,TRUE),0)</f>
        <v>0</v>
      </c>
      <c r="L56" s="209">
        <f>IF('信用保険料計算書（上限2000万）'!$M$15="",0,IF($B56&lt;'信用保険料計算書（上限2000万）'!$M$15,0,IF($B56&gt;'信用保険料計算書（上限2000万）'!$M$16,0,1)))</f>
        <v>0</v>
      </c>
      <c r="M56" s="209">
        <f>IF(L56=1,HLOOKUP(C56,'計算書（第5回）'!$C$123:$U$124,2,TRUE),0)</f>
        <v>0</v>
      </c>
      <c r="N56" s="209">
        <f>IF('信用保険料計算書（上限2000万）'!$O$15="",0,IF($B56&lt;'信用保険料計算書（上限2000万）'!$O$15,0,IF($B56&gt;'信用保険料計算書（上限2000万）'!$O$16,0,1)))</f>
        <v>0</v>
      </c>
      <c r="O56" s="209">
        <f>IF(N56=1,HLOOKUP(C56,'計算書（第6回）'!$C$123:$U$124,2,TRUE),0)</f>
        <v>0</v>
      </c>
      <c r="P56" s="209">
        <f>IF('信用保険料計算書（上限2000万）'!$Q$15="",0,IF($B56&lt;'信用保険料計算書（上限2000万）'!$Q$15,0,IF($B56&gt;'信用保険料計算書（上限2000万）'!$Q$16,0,1)))</f>
        <v>0</v>
      </c>
      <c r="Q56" s="209">
        <f>IF(P56=1,HLOOKUP(C56,'計算書（第7回）'!$C$123:$U$124,2,TRUE),0)</f>
        <v>0</v>
      </c>
      <c r="R56" s="210"/>
      <c r="S56" s="211">
        <f>COUNTIF($AB$13:$AB$19,"&lt;=2015/9/1")</f>
        <v>0</v>
      </c>
      <c r="T56" s="178" t="e">
        <f t="shared" si="5"/>
        <v>#NUM!</v>
      </c>
      <c r="U56" s="181">
        <f t="shared" si="1"/>
        <v>0</v>
      </c>
      <c r="V56" s="182">
        <f t="shared" si="2"/>
        <v>0</v>
      </c>
      <c r="W56" s="245">
        <f t="shared" si="3"/>
        <v>0</v>
      </c>
      <c r="X56" s="183">
        <f>INT(SUM(W51:W56))</f>
        <v>0</v>
      </c>
    </row>
    <row r="57" spans="2:24">
      <c r="B57" s="214">
        <f t="shared" si="4"/>
        <v>42278</v>
      </c>
      <c r="C57" s="198">
        <f t="shared" si="0"/>
        <v>42248</v>
      </c>
      <c r="D57" s="209">
        <f>IF(B57&lt;'信用保険料計算書（上限2000万）'!$E$15,0,IF(B57&gt;'信用保険料計算書（上限2000万）'!$E$16,0,1))</f>
        <v>0</v>
      </c>
      <c r="E57" s="209">
        <f>IF(D57=1,HLOOKUP(C57,'計算書（第1回）'!$C$123:$U$124,2,TRUE),0)</f>
        <v>0</v>
      </c>
      <c r="F57" s="209">
        <f>IF('信用保険料計算書（上限2000万）'!$G$15="",0,IF($B57&lt;'信用保険料計算書（上限2000万）'!$G$15,0,IF($B57&gt;'信用保険料計算書（上限2000万）'!$G$16,0,1)))</f>
        <v>0</v>
      </c>
      <c r="G57" s="209">
        <f>IF(F57=1,HLOOKUP(C57,'計算書（第2回）'!$C$123:$U$124,2,TRUE),0)</f>
        <v>0</v>
      </c>
      <c r="H57" s="209">
        <f>IF('信用保険料計算書（上限2000万）'!$I$15="",0,IF($B57&lt;'信用保険料計算書（上限2000万）'!$I$15,0,IF($B57&gt;'信用保険料計算書（上限2000万）'!$I$16,0,1)))</f>
        <v>0</v>
      </c>
      <c r="I57" s="209">
        <f>IF(H57=1,HLOOKUP(C57,'計算書（第3回）'!$C$123:$U$124,2,TRUE),0)</f>
        <v>0</v>
      </c>
      <c r="J57" s="209">
        <f>IF('信用保険料計算書（上限2000万）'!$K$15="",0,IF($B57&lt;'信用保険料計算書（上限2000万）'!$K$15,0,IF($B57&gt;'信用保険料計算書（上限2000万）'!$K$16,0,1)))</f>
        <v>0</v>
      </c>
      <c r="K57" s="209">
        <f>IF(J57=1,HLOOKUP(C57,'計算書（第4回）'!$C$123:$U$124,2,TRUE),0)</f>
        <v>0</v>
      </c>
      <c r="L57" s="209">
        <f>IF('信用保険料計算書（上限2000万）'!$M$15="",0,IF($B57&lt;'信用保険料計算書（上限2000万）'!$M$15,0,IF($B57&gt;'信用保険料計算書（上限2000万）'!$M$16,0,1)))</f>
        <v>0</v>
      </c>
      <c r="M57" s="209">
        <f>IF(L57=1,HLOOKUP(C57,'計算書（第5回）'!$C$123:$U$124,2,TRUE),0)</f>
        <v>0</v>
      </c>
      <c r="N57" s="209">
        <f>IF('信用保険料計算書（上限2000万）'!$O$15="",0,IF($B57&lt;'信用保険料計算書（上限2000万）'!$O$15,0,IF($B57&gt;'信用保険料計算書（上限2000万）'!$O$16,0,1)))</f>
        <v>0</v>
      </c>
      <c r="O57" s="209">
        <f>IF(N57=1,HLOOKUP(C57,'計算書（第6回）'!$C$123:$U$124,2,TRUE),0)</f>
        <v>0</v>
      </c>
      <c r="P57" s="209">
        <f>IF('信用保険料計算書（上限2000万）'!$Q$15="",0,IF($B57&lt;'信用保険料計算書（上限2000万）'!$Q$15,0,IF($B57&gt;'信用保険料計算書（上限2000万）'!$Q$16,0,1)))</f>
        <v>0</v>
      </c>
      <c r="Q57" s="209">
        <f>IF(P57=1,HLOOKUP(C57,'計算書（第7回）'!$C$123:$U$124,2,TRUE),0)</f>
        <v>0</v>
      </c>
      <c r="R57" s="210"/>
      <c r="S57" s="211">
        <f>COUNTIF($AB$13:$AB$19,"&lt;=2015/10/1")</f>
        <v>0</v>
      </c>
      <c r="T57" s="178" t="e">
        <f t="shared" si="5"/>
        <v>#NUM!</v>
      </c>
      <c r="U57" s="181">
        <f t="shared" si="1"/>
        <v>0</v>
      </c>
      <c r="V57" s="182">
        <f t="shared" si="2"/>
        <v>0</v>
      </c>
      <c r="W57" s="245">
        <f t="shared" si="3"/>
        <v>0</v>
      </c>
      <c r="X57" s="182"/>
    </row>
    <row r="58" spans="2:24">
      <c r="B58" s="214">
        <f t="shared" si="4"/>
        <v>42309</v>
      </c>
      <c r="C58" s="198">
        <f t="shared" si="0"/>
        <v>42278</v>
      </c>
      <c r="D58" s="209">
        <f>IF(B58&lt;'信用保険料計算書（上限2000万）'!$E$15,0,IF(B58&gt;'信用保険料計算書（上限2000万）'!$E$16,0,1))</f>
        <v>0</v>
      </c>
      <c r="E58" s="209">
        <f>IF(D58=1,HLOOKUP(C58,'計算書（第1回）'!$C$123:$U$124,2,TRUE),0)</f>
        <v>0</v>
      </c>
      <c r="F58" s="209">
        <f>IF('信用保険料計算書（上限2000万）'!$G$15="",0,IF($B58&lt;'信用保険料計算書（上限2000万）'!$G$15,0,IF($B58&gt;'信用保険料計算書（上限2000万）'!$G$16,0,1)))</f>
        <v>0</v>
      </c>
      <c r="G58" s="209">
        <f>IF(F58=1,HLOOKUP(C58,'計算書（第2回）'!$C$123:$U$124,2,TRUE),0)</f>
        <v>0</v>
      </c>
      <c r="H58" s="209">
        <f>IF('信用保険料計算書（上限2000万）'!$I$15="",0,IF($B58&lt;'信用保険料計算書（上限2000万）'!$I$15,0,IF($B58&gt;'信用保険料計算書（上限2000万）'!$I$16,0,1)))</f>
        <v>0</v>
      </c>
      <c r="I58" s="209">
        <f>IF(H58=1,HLOOKUP(C58,'計算書（第3回）'!$C$123:$U$124,2,TRUE),0)</f>
        <v>0</v>
      </c>
      <c r="J58" s="209">
        <f>IF('信用保険料計算書（上限2000万）'!$K$15="",0,IF($B58&lt;'信用保険料計算書（上限2000万）'!$K$15,0,IF($B58&gt;'信用保険料計算書（上限2000万）'!$K$16,0,1)))</f>
        <v>0</v>
      </c>
      <c r="K58" s="209">
        <f>IF(J58=1,HLOOKUP(C58,'計算書（第4回）'!$C$123:$U$124,2,TRUE),0)</f>
        <v>0</v>
      </c>
      <c r="L58" s="209">
        <f>IF('信用保険料計算書（上限2000万）'!$M$15="",0,IF($B58&lt;'信用保険料計算書（上限2000万）'!$M$15,0,IF($B58&gt;'信用保険料計算書（上限2000万）'!$M$16,0,1)))</f>
        <v>0</v>
      </c>
      <c r="M58" s="209">
        <f>IF(L58=1,HLOOKUP(C58,'計算書（第5回）'!$C$123:$U$124,2,TRUE),0)</f>
        <v>0</v>
      </c>
      <c r="N58" s="209">
        <f>IF('信用保険料計算書（上限2000万）'!$O$15="",0,IF($B58&lt;'信用保険料計算書（上限2000万）'!$O$15,0,IF($B58&gt;'信用保険料計算書（上限2000万）'!$O$16,0,1)))</f>
        <v>0</v>
      </c>
      <c r="O58" s="209">
        <f>IF(N58=1,HLOOKUP(C58,'計算書（第6回）'!$C$123:$U$124,2,TRUE),0)</f>
        <v>0</v>
      </c>
      <c r="P58" s="209">
        <f>IF('信用保険料計算書（上限2000万）'!$Q$15="",0,IF($B58&lt;'信用保険料計算書（上限2000万）'!$Q$15,0,IF($B58&gt;'信用保険料計算書（上限2000万）'!$Q$16,0,1)))</f>
        <v>0</v>
      </c>
      <c r="Q58" s="209">
        <f>IF(P58=1,HLOOKUP(C58,'計算書（第7回）'!$C$123:$U$124,2,TRUE),0)</f>
        <v>0</v>
      </c>
      <c r="R58" s="210"/>
      <c r="S58" s="211">
        <f>COUNTIF($AB$13:$AB$19,"&lt;=2015/11/1")</f>
        <v>0</v>
      </c>
      <c r="T58" s="178" t="e">
        <f t="shared" si="5"/>
        <v>#NUM!</v>
      </c>
      <c r="U58" s="181">
        <f t="shared" si="1"/>
        <v>0</v>
      </c>
      <c r="V58" s="182">
        <f t="shared" si="2"/>
        <v>0</v>
      </c>
      <c r="W58" s="245">
        <f t="shared" si="3"/>
        <v>0</v>
      </c>
      <c r="X58" s="182"/>
    </row>
    <row r="59" spans="2:24">
      <c r="B59" s="214">
        <f t="shared" si="4"/>
        <v>42339</v>
      </c>
      <c r="C59" s="198">
        <f t="shared" si="0"/>
        <v>42309</v>
      </c>
      <c r="D59" s="209">
        <f>IF(B59&lt;'信用保険料計算書（上限2000万）'!$E$15,0,IF(B59&gt;'信用保険料計算書（上限2000万）'!$E$16,0,1))</f>
        <v>0</v>
      </c>
      <c r="E59" s="209">
        <f>IF(D59=1,HLOOKUP(C59,'計算書（第1回）'!$C$123:$U$124,2,TRUE),0)</f>
        <v>0</v>
      </c>
      <c r="F59" s="209">
        <f>IF('信用保険料計算書（上限2000万）'!$G$15="",0,IF($B59&lt;'信用保険料計算書（上限2000万）'!$G$15,0,IF($B59&gt;'信用保険料計算書（上限2000万）'!$G$16,0,1)))</f>
        <v>0</v>
      </c>
      <c r="G59" s="209">
        <f>IF(F59=1,HLOOKUP(C59,'計算書（第2回）'!$C$123:$U$124,2,TRUE),0)</f>
        <v>0</v>
      </c>
      <c r="H59" s="209">
        <f>IF('信用保険料計算書（上限2000万）'!$I$15="",0,IF($B59&lt;'信用保険料計算書（上限2000万）'!$I$15,0,IF($B59&gt;'信用保険料計算書（上限2000万）'!$I$16,0,1)))</f>
        <v>0</v>
      </c>
      <c r="I59" s="209">
        <f>IF(H59=1,HLOOKUP(C59,'計算書（第3回）'!$C$123:$U$124,2,TRUE),0)</f>
        <v>0</v>
      </c>
      <c r="J59" s="209">
        <f>IF('信用保険料計算書（上限2000万）'!$K$15="",0,IF($B59&lt;'信用保険料計算書（上限2000万）'!$K$15,0,IF($B59&gt;'信用保険料計算書（上限2000万）'!$K$16,0,1)))</f>
        <v>0</v>
      </c>
      <c r="K59" s="209">
        <f>IF(J59=1,HLOOKUP(C59,'計算書（第4回）'!$C$123:$U$124,2,TRUE),0)</f>
        <v>0</v>
      </c>
      <c r="L59" s="209">
        <f>IF('信用保険料計算書（上限2000万）'!$M$15="",0,IF($B59&lt;'信用保険料計算書（上限2000万）'!$M$15,0,IF($B59&gt;'信用保険料計算書（上限2000万）'!$M$16,0,1)))</f>
        <v>0</v>
      </c>
      <c r="M59" s="209">
        <f>IF(L59=1,HLOOKUP(C59,'計算書（第5回）'!$C$123:$U$124,2,TRUE),0)</f>
        <v>0</v>
      </c>
      <c r="N59" s="209">
        <f>IF('信用保険料計算書（上限2000万）'!$O$15="",0,IF($B59&lt;'信用保険料計算書（上限2000万）'!$O$15,0,IF($B59&gt;'信用保険料計算書（上限2000万）'!$O$16,0,1)))</f>
        <v>0</v>
      </c>
      <c r="O59" s="209">
        <f>IF(N59=1,HLOOKUP(C59,'計算書（第6回）'!$C$123:$U$124,2,TRUE),0)</f>
        <v>0</v>
      </c>
      <c r="P59" s="209">
        <f>IF('信用保険料計算書（上限2000万）'!$Q$15="",0,IF($B59&lt;'信用保険料計算書（上限2000万）'!$Q$15,0,IF($B59&gt;'信用保険料計算書（上限2000万）'!$Q$16,0,1)))</f>
        <v>0</v>
      </c>
      <c r="Q59" s="209">
        <f>IF(P59=1,HLOOKUP(C59,'計算書（第7回）'!$C$123:$U$124,2,TRUE),0)</f>
        <v>0</v>
      </c>
      <c r="R59" s="210"/>
      <c r="S59" s="211">
        <f>COUNTIF($AB$13:$AB$19,"&lt;=2015/12/1")</f>
        <v>0</v>
      </c>
      <c r="T59" s="178" t="e">
        <f t="shared" si="5"/>
        <v>#NUM!</v>
      </c>
      <c r="U59" s="181">
        <f t="shared" si="1"/>
        <v>0</v>
      </c>
      <c r="V59" s="182">
        <f t="shared" si="2"/>
        <v>0</v>
      </c>
      <c r="W59" s="245">
        <f t="shared" si="3"/>
        <v>0</v>
      </c>
      <c r="X59" s="182"/>
    </row>
    <row r="60" spans="2:24">
      <c r="B60" s="214">
        <f t="shared" si="4"/>
        <v>42370</v>
      </c>
      <c r="C60" s="198">
        <f t="shared" si="0"/>
        <v>42339</v>
      </c>
      <c r="D60" s="209">
        <f>IF(B60&lt;'信用保険料計算書（上限2000万）'!$E$15,0,IF(B60&gt;'信用保険料計算書（上限2000万）'!$E$16,0,1))</f>
        <v>0</v>
      </c>
      <c r="E60" s="209">
        <f>IF(D60=1,HLOOKUP(C60,'計算書（第1回）'!$C$123:$U$124,2,TRUE),0)</f>
        <v>0</v>
      </c>
      <c r="F60" s="209">
        <f>IF('信用保険料計算書（上限2000万）'!$G$15="",0,IF($B60&lt;'信用保険料計算書（上限2000万）'!$G$15,0,IF($B60&gt;'信用保険料計算書（上限2000万）'!$G$16,0,1)))</f>
        <v>0</v>
      </c>
      <c r="G60" s="209">
        <f>IF(F60=1,HLOOKUP(C60,'計算書（第2回）'!$C$123:$U$124,2,TRUE),0)</f>
        <v>0</v>
      </c>
      <c r="H60" s="209">
        <f>IF('信用保険料計算書（上限2000万）'!$I$15="",0,IF($B60&lt;'信用保険料計算書（上限2000万）'!$I$15,0,IF($B60&gt;'信用保険料計算書（上限2000万）'!$I$16,0,1)))</f>
        <v>0</v>
      </c>
      <c r="I60" s="209">
        <f>IF(H60=1,HLOOKUP(C60,'計算書（第3回）'!$C$123:$U$124,2,TRUE),0)</f>
        <v>0</v>
      </c>
      <c r="J60" s="209">
        <f>IF('信用保険料計算書（上限2000万）'!$K$15="",0,IF($B60&lt;'信用保険料計算書（上限2000万）'!$K$15,0,IF($B60&gt;'信用保険料計算書（上限2000万）'!$K$16,0,1)))</f>
        <v>0</v>
      </c>
      <c r="K60" s="209">
        <f>IF(J60=1,HLOOKUP(C60,'計算書（第4回）'!$C$123:$U$124,2,TRUE),0)</f>
        <v>0</v>
      </c>
      <c r="L60" s="209">
        <f>IF('信用保険料計算書（上限2000万）'!$M$15="",0,IF($B60&lt;'信用保険料計算書（上限2000万）'!$M$15,0,IF($B60&gt;'信用保険料計算書（上限2000万）'!$M$16,0,1)))</f>
        <v>0</v>
      </c>
      <c r="M60" s="209">
        <f>IF(L60=1,HLOOKUP(C60,'計算書（第5回）'!$C$123:$U$124,2,TRUE),0)</f>
        <v>0</v>
      </c>
      <c r="N60" s="209">
        <f>IF('信用保険料計算書（上限2000万）'!$O$15="",0,IF($B60&lt;'信用保険料計算書（上限2000万）'!$O$15,0,IF($B60&gt;'信用保険料計算書（上限2000万）'!$O$16,0,1)))</f>
        <v>0</v>
      </c>
      <c r="O60" s="209">
        <f>IF(N60=1,HLOOKUP(C60,'計算書（第6回）'!$C$123:$U$124,2,TRUE),0)</f>
        <v>0</v>
      </c>
      <c r="P60" s="209">
        <f>IF('信用保険料計算書（上限2000万）'!$Q$15="",0,IF($B60&lt;'信用保険料計算書（上限2000万）'!$Q$15,0,IF($B60&gt;'信用保険料計算書（上限2000万）'!$Q$16,0,1)))</f>
        <v>0</v>
      </c>
      <c r="Q60" s="209">
        <f>IF(P60=1,HLOOKUP(C60,'計算書（第7回）'!$C$123:$U$124,2,TRUE),0)</f>
        <v>0</v>
      </c>
      <c r="R60" s="212"/>
      <c r="S60" s="211">
        <f>COUNTIF($AB$13:$AB$19,"&lt;=2016/1/1")</f>
        <v>0</v>
      </c>
      <c r="T60" s="178" t="e">
        <f t="shared" si="5"/>
        <v>#NUM!</v>
      </c>
      <c r="U60" s="181">
        <f t="shared" si="1"/>
        <v>0</v>
      </c>
      <c r="V60" s="182">
        <f t="shared" si="2"/>
        <v>0</v>
      </c>
      <c r="W60" s="245">
        <f t="shared" si="3"/>
        <v>0</v>
      </c>
      <c r="X60" s="182"/>
    </row>
    <row r="61" spans="2:24">
      <c r="B61" s="214">
        <f t="shared" si="4"/>
        <v>42401</v>
      </c>
      <c r="C61" s="198">
        <f t="shared" si="0"/>
        <v>42370</v>
      </c>
      <c r="D61" s="209">
        <f>IF(B61&lt;'信用保険料計算書（上限2000万）'!$E$15,0,IF(B61&gt;'信用保険料計算書（上限2000万）'!$E$16,0,1))</f>
        <v>0</v>
      </c>
      <c r="E61" s="209">
        <f>IF(D61=1,HLOOKUP(C61,'計算書（第1回）'!$C$123:$U$124,2,TRUE),0)</f>
        <v>0</v>
      </c>
      <c r="F61" s="209">
        <f>IF('信用保険料計算書（上限2000万）'!$G$15="",0,IF($B61&lt;'信用保険料計算書（上限2000万）'!$G$15,0,IF($B61&gt;'信用保険料計算書（上限2000万）'!$G$16,0,1)))</f>
        <v>0</v>
      </c>
      <c r="G61" s="209">
        <f>IF(F61=1,HLOOKUP(C61,'計算書（第2回）'!$C$123:$U$124,2,TRUE),0)</f>
        <v>0</v>
      </c>
      <c r="H61" s="209">
        <f>IF('信用保険料計算書（上限2000万）'!$I$15="",0,IF($B61&lt;'信用保険料計算書（上限2000万）'!$I$15,0,IF($B61&gt;'信用保険料計算書（上限2000万）'!$I$16,0,1)))</f>
        <v>0</v>
      </c>
      <c r="I61" s="209">
        <f>IF(H61=1,HLOOKUP(C61,'計算書（第3回）'!$C$123:$U$124,2,TRUE),0)</f>
        <v>0</v>
      </c>
      <c r="J61" s="209">
        <f>IF('信用保険料計算書（上限2000万）'!$K$15="",0,IF($B61&lt;'信用保険料計算書（上限2000万）'!$K$15,0,IF($B61&gt;'信用保険料計算書（上限2000万）'!$K$16,0,1)))</f>
        <v>0</v>
      </c>
      <c r="K61" s="209">
        <f>IF(J61=1,HLOOKUP(C61,'計算書（第4回）'!$C$123:$U$124,2,TRUE),0)</f>
        <v>0</v>
      </c>
      <c r="L61" s="209">
        <f>IF('信用保険料計算書（上限2000万）'!$M$15="",0,IF($B61&lt;'信用保険料計算書（上限2000万）'!$M$15,0,IF($B61&gt;'信用保険料計算書（上限2000万）'!$M$16,0,1)))</f>
        <v>0</v>
      </c>
      <c r="M61" s="209">
        <f>IF(L61=1,HLOOKUP(C61,'計算書（第5回）'!$C$123:$U$124,2,TRUE),0)</f>
        <v>0</v>
      </c>
      <c r="N61" s="209">
        <f>IF('信用保険料計算書（上限2000万）'!$O$15="",0,IF($B61&lt;'信用保険料計算書（上限2000万）'!$O$15,0,IF($B61&gt;'信用保険料計算書（上限2000万）'!$O$16,0,1)))</f>
        <v>0</v>
      </c>
      <c r="O61" s="209">
        <f>IF(N61=1,HLOOKUP(C61,'計算書（第6回）'!$C$123:$U$124,2,TRUE),0)</f>
        <v>0</v>
      </c>
      <c r="P61" s="209">
        <f>IF('信用保険料計算書（上限2000万）'!$Q$15="",0,IF($B61&lt;'信用保険料計算書（上限2000万）'!$Q$15,0,IF($B61&gt;'信用保険料計算書（上限2000万）'!$Q$16,0,1)))</f>
        <v>0</v>
      </c>
      <c r="Q61" s="209">
        <f>IF(P61=1,HLOOKUP(C61,'計算書（第7回）'!$C$123:$U$124,2,TRUE),0)</f>
        <v>0</v>
      </c>
      <c r="R61" s="212"/>
      <c r="S61" s="211">
        <f>COUNTIF($AB$13:$AB$19,"&lt;=2016/2/1")</f>
        <v>0</v>
      </c>
      <c r="T61" s="178" t="e">
        <f t="shared" si="5"/>
        <v>#NUM!</v>
      </c>
      <c r="U61" s="181">
        <f t="shared" si="1"/>
        <v>0</v>
      </c>
      <c r="V61" s="182">
        <f t="shared" si="2"/>
        <v>0</v>
      </c>
      <c r="W61" s="245">
        <f t="shared" si="3"/>
        <v>0</v>
      </c>
      <c r="X61" s="182"/>
    </row>
    <row r="62" spans="2:24">
      <c r="B62" s="214">
        <f t="shared" si="4"/>
        <v>42430</v>
      </c>
      <c r="C62" s="198">
        <f t="shared" si="0"/>
        <v>42401</v>
      </c>
      <c r="D62" s="209">
        <f>IF(B62&lt;'信用保険料計算書（上限2000万）'!$E$15,0,IF(B62&gt;'信用保険料計算書（上限2000万）'!$E$16,0,1))</f>
        <v>0</v>
      </c>
      <c r="E62" s="209">
        <f>IF(D62=1,HLOOKUP(C62,'計算書（第1回）'!$C$123:$U$124,2,TRUE),0)</f>
        <v>0</v>
      </c>
      <c r="F62" s="209">
        <f>IF('信用保険料計算書（上限2000万）'!$G$15="",0,IF($B62&lt;'信用保険料計算書（上限2000万）'!$G$15,0,IF($B62&gt;'信用保険料計算書（上限2000万）'!$G$16,0,1)))</f>
        <v>0</v>
      </c>
      <c r="G62" s="209">
        <f>IF(F62=1,HLOOKUP(C62,'計算書（第2回）'!$C$123:$U$124,2,TRUE),0)</f>
        <v>0</v>
      </c>
      <c r="H62" s="209">
        <f>IF('信用保険料計算書（上限2000万）'!$I$15="",0,IF($B62&lt;'信用保険料計算書（上限2000万）'!$I$15,0,IF($B62&gt;'信用保険料計算書（上限2000万）'!$I$16,0,1)))</f>
        <v>0</v>
      </c>
      <c r="I62" s="209">
        <f>IF(H62=1,HLOOKUP(C62,'計算書（第3回）'!$C$123:$U$124,2,TRUE),0)</f>
        <v>0</v>
      </c>
      <c r="J62" s="209">
        <f>IF('信用保険料計算書（上限2000万）'!$K$15="",0,IF($B62&lt;'信用保険料計算書（上限2000万）'!$K$15,0,IF($B62&gt;'信用保険料計算書（上限2000万）'!$K$16,0,1)))</f>
        <v>0</v>
      </c>
      <c r="K62" s="209">
        <f>IF(J62=1,HLOOKUP(C62,'計算書（第4回）'!$C$123:$U$124,2,TRUE),0)</f>
        <v>0</v>
      </c>
      <c r="L62" s="209">
        <f>IF('信用保険料計算書（上限2000万）'!$M$15="",0,IF($B62&lt;'信用保険料計算書（上限2000万）'!$M$15,0,IF($B62&gt;'信用保険料計算書（上限2000万）'!$M$16,0,1)))</f>
        <v>0</v>
      </c>
      <c r="M62" s="209">
        <f>IF(L62=1,HLOOKUP(C62,'計算書（第5回）'!$C$123:$U$124,2,TRUE),0)</f>
        <v>0</v>
      </c>
      <c r="N62" s="209">
        <f>IF('信用保険料計算書（上限2000万）'!$O$15="",0,IF($B62&lt;'信用保険料計算書（上限2000万）'!$O$15,0,IF($B62&gt;'信用保険料計算書（上限2000万）'!$O$16,0,1)))</f>
        <v>0</v>
      </c>
      <c r="O62" s="209">
        <f>IF(N62=1,HLOOKUP(C62,'計算書（第6回）'!$C$123:$U$124,2,TRUE),0)</f>
        <v>0</v>
      </c>
      <c r="P62" s="209">
        <f>IF('信用保険料計算書（上限2000万）'!$Q$15="",0,IF($B62&lt;'信用保険料計算書（上限2000万）'!$Q$15,0,IF($B62&gt;'信用保険料計算書（上限2000万）'!$Q$16,0,1)))</f>
        <v>0</v>
      </c>
      <c r="Q62" s="209">
        <f>IF(P62=1,HLOOKUP(C62,'計算書（第7回）'!$C$123:$U$124,2,TRUE),0)</f>
        <v>0</v>
      </c>
      <c r="R62" s="212"/>
      <c r="S62" s="211">
        <f>COUNTIF($AB$13:$AB$19,"&lt;=2016/3/1")</f>
        <v>0</v>
      </c>
      <c r="T62" s="178" t="e">
        <f t="shared" si="5"/>
        <v>#NUM!</v>
      </c>
      <c r="U62" s="181">
        <f t="shared" si="1"/>
        <v>0</v>
      </c>
      <c r="V62" s="182">
        <f t="shared" si="2"/>
        <v>0</v>
      </c>
      <c r="W62" s="245">
        <f t="shared" si="3"/>
        <v>0</v>
      </c>
      <c r="X62" s="183">
        <f>INT(SUM(W57:W62))</f>
        <v>0</v>
      </c>
    </row>
    <row r="63" spans="2:24">
      <c r="B63" s="214">
        <f t="shared" si="4"/>
        <v>42461</v>
      </c>
      <c r="C63" s="198">
        <f t="shared" si="0"/>
        <v>42430</v>
      </c>
      <c r="D63" s="209">
        <f>IF(B63&lt;'信用保険料計算書（上限2000万）'!$E$15,0,IF(B63&gt;'信用保険料計算書（上限2000万）'!$E$16,0,1))</f>
        <v>0</v>
      </c>
      <c r="E63" s="209">
        <f>IF(D63=1,HLOOKUP(C63,'計算書（第1回）'!$C$123:$U$124,2,TRUE),0)</f>
        <v>0</v>
      </c>
      <c r="F63" s="209">
        <f>IF('信用保険料計算書（上限2000万）'!$G$15="",0,IF($B63&lt;'信用保険料計算書（上限2000万）'!$G$15,0,IF($B63&gt;'信用保険料計算書（上限2000万）'!$G$16,0,1)))</f>
        <v>0</v>
      </c>
      <c r="G63" s="209">
        <f>IF(F63=1,HLOOKUP(C63,'計算書（第2回）'!$C$123:$U$124,2,TRUE),0)</f>
        <v>0</v>
      </c>
      <c r="H63" s="209">
        <f>IF('信用保険料計算書（上限2000万）'!$I$15="",0,IF($B63&lt;'信用保険料計算書（上限2000万）'!$I$15,0,IF($B63&gt;'信用保険料計算書（上限2000万）'!$I$16,0,1)))</f>
        <v>0</v>
      </c>
      <c r="I63" s="209">
        <f>IF(H63=1,HLOOKUP(C63,'計算書（第3回）'!$C$123:$U$124,2,TRUE),0)</f>
        <v>0</v>
      </c>
      <c r="J63" s="209">
        <f>IF('信用保険料計算書（上限2000万）'!$K$15="",0,IF($B63&lt;'信用保険料計算書（上限2000万）'!$K$15,0,IF($B63&gt;'信用保険料計算書（上限2000万）'!$K$16,0,1)))</f>
        <v>0</v>
      </c>
      <c r="K63" s="209">
        <f>IF(J63=1,HLOOKUP(C63,'計算書（第4回）'!$C$123:$U$124,2,TRUE),0)</f>
        <v>0</v>
      </c>
      <c r="L63" s="209">
        <f>IF('信用保険料計算書（上限2000万）'!$M$15="",0,IF($B63&lt;'信用保険料計算書（上限2000万）'!$M$15,0,IF($B63&gt;'信用保険料計算書（上限2000万）'!$M$16,0,1)))</f>
        <v>0</v>
      </c>
      <c r="M63" s="209">
        <f>IF(L63=1,HLOOKUP(C63,'計算書（第5回）'!$C$123:$U$124,2,TRUE),0)</f>
        <v>0</v>
      </c>
      <c r="N63" s="209">
        <f>IF('信用保険料計算書（上限2000万）'!$O$15="",0,IF($B63&lt;'信用保険料計算書（上限2000万）'!$O$15,0,IF($B63&gt;'信用保険料計算書（上限2000万）'!$O$16,0,1)))</f>
        <v>0</v>
      </c>
      <c r="O63" s="209">
        <f>IF(N63=1,HLOOKUP(C63,'計算書（第6回）'!$C$123:$U$124,2,TRUE),0)</f>
        <v>0</v>
      </c>
      <c r="P63" s="209">
        <f>IF('信用保険料計算書（上限2000万）'!$Q$15="",0,IF($B63&lt;'信用保険料計算書（上限2000万）'!$Q$15,0,IF($B63&gt;'信用保険料計算書（上限2000万）'!$Q$16,0,1)))</f>
        <v>0</v>
      </c>
      <c r="Q63" s="209">
        <f>IF(P63=1,HLOOKUP(C63,'計算書（第7回）'!$C$123:$U$124,2,TRUE),0)</f>
        <v>0</v>
      </c>
      <c r="R63" s="212"/>
      <c r="S63" s="211">
        <f>COUNTIF($AB$13:$AB$19,"&lt;=2016/4/1")</f>
        <v>0</v>
      </c>
      <c r="T63" s="178" t="e">
        <f t="shared" si="5"/>
        <v>#NUM!</v>
      </c>
      <c r="U63" s="181">
        <f t="shared" si="1"/>
        <v>0</v>
      </c>
      <c r="V63" s="182">
        <f t="shared" si="2"/>
        <v>0</v>
      </c>
      <c r="W63" s="245">
        <f t="shared" si="3"/>
        <v>0</v>
      </c>
      <c r="X63" s="182"/>
    </row>
    <row r="64" spans="2:24">
      <c r="B64" s="214">
        <f t="shared" si="4"/>
        <v>42491</v>
      </c>
      <c r="C64" s="198">
        <f t="shared" si="0"/>
        <v>42461</v>
      </c>
      <c r="D64" s="209">
        <f>IF(B64&lt;'信用保険料計算書（上限2000万）'!$E$15,0,IF(B64&gt;'信用保険料計算書（上限2000万）'!$E$16,0,1))</f>
        <v>0</v>
      </c>
      <c r="E64" s="209">
        <f>IF(D64=1,HLOOKUP(C64,'計算書（第1回）'!$C$123:$U$124,2,TRUE),0)</f>
        <v>0</v>
      </c>
      <c r="F64" s="209">
        <f>IF('信用保険料計算書（上限2000万）'!$G$15="",0,IF($B64&lt;'信用保険料計算書（上限2000万）'!$G$15,0,IF($B64&gt;'信用保険料計算書（上限2000万）'!$G$16,0,1)))</f>
        <v>0</v>
      </c>
      <c r="G64" s="209">
        <f>IF(F64=1,HLOOKUP(C64,'計算書（第2回）'!$C$123:$U$124,2,TRUE),0)</f>
        <v>0</v>
      </c>
      <c r="H64" s="209">
        <f>IF('信用保険料計算書（上限2000万）'!$I$15="",0,IF($B64&lt;'信用保険料計算書（上限2000万）'!$I$15,0,IF($B64&gt;'信用保険料計算書（上限2000万）'!$I$16,0,1)))</f>
        <v>0</v>
      </c>
      <c r="I64" s="209">
        <f>IF(H64=1,HLOOKUP(C64,'計算書（第3回）'!$C$123:$U$124,2,TRUE),0)</f>
        <v>0</v>
      </c>
      <c r="J64" s="209">
        <f>IF('信用保険料計算書（上限2000万）'!$K$15="",0,IF($B64&lt;'信用保険料計算書（上限2000万）'!$K$15,0,IF($B64&gt;'信用保険料計算書（上限2000万）'!$K$16,0,1)))</f>
        <v>0</v>
      </c>
      <c r="K64" s="209">
        <f>IF(J64=1,HLOOKUP(C64,'計算書（第4回）'!$C$123:$U$124,2,TRUE),0)</f>
        <v>0</v>
      </c>
      <c r="L64" s="209">
        <f>IF('信用保険料計算書（上限2000万）'!$M$15="",0,IF($B64&lt;'信用保険料計算書（上限2000万）'!$M$15,0,IF($B64&gt;'信用保険料計算書（上限2000万）'!$M$16,0,1)))</f>
        <v>0</v>
      </c>
      <c r="M64" s="209">
        <f>IF(L64=1,HLOOKUP(C64,'計算書（第5回）'!$C$123:$U$124,2,TRUE),0)</f>
        <v>0</v>
      </c>
      <c r="N64" s="209">
        <f>IF('信用保険料計算書（上限2000万）'!$O$15="",0,IF($B64&lt;'信用保険料計算書（上限2000万）'!$O$15,0,IF($B64&gt;'信用保険料計算書（上限2000万）'!$O$16,0,1)))</f>
        <v>0</v>
      </c>
      <c r="O64" s="209">
        <f>IF(N64=1,HLOOKUP(C64,'計算書（第6回）'!$C$123:$U$124,2,TRUE),0)</f>
        <v>0</v>
      </c>
      <c r="P64" s="209">
        <f>IF('信用保険料計算書（上限2000万）'!$Q$15="",0,IF($B64&lt;'信用保険料計算書（上限2000万）'!$Q$15,0,IF($B64&gt;'信用保険料計算書（上限2000万）'!$Q$16,0,1)))</f>
        <v>0</v>
      </c>
      <c r="Q64" s="209">
        <f>IF(P64=1,HLOOKUP(C64,'計算書（第7回）'!$C$123:$U$124,2,TRUE),0)</f>
        <v>0</v>
      </c>
      <c r="R64" s="212"/>
      <c r="S64" s="211">
        <f>COUNTIF($AB$13:$AB$19,"&lt;=2016/5/1")</f>
        <v>0</v>
      </c>
      <c r="T64" s="178" t="e">
        <f t="shared" si="5"/>
        <v>#NUM!</v>
      </c>
      <c r="U64" s="181">
        <f t="shared" si="1"/>
        <v>0</v>
      </c>
      <c r="V64" s="182">
        <f t="shared" si="2"/>
        <v>0</v>
      </c>
      <c r="W64" s="245">
        <f t="shared" si="3"/>
        <v>0</v>
      </c>
      <c r="X64" s="182"/>
    </row>
    <row r="65" spans="2:24">
      <c r="B65" s="214">
        <f t="shared" si="4"/>
        <v>42522</v>
      </c>
      <c r="C65" s="198">
        <f t="shared" si="0"/>
        <v>42491</v>
      </c>
      <c r="D65" s="209">
        <f>IF(B65&lt;'信用保険料計算書（上限2000万）'!$E$15,0,IF(B65&gt;'信用保険料計算書（上限2000万）'!$E$16,0,1))</f>
        <v>0</v>
      </c>
      <c r="E65" s="209">
        <f>IF(D65=1,HLOOKUP(C65,'計算書（第1回）'!$C$123:$U$124,2,TRUE),0)</f>
        <v>0</v>
      </c>
      <c r="F65" s="209">
        <f>IF('信用保険料計算書（上限2000万）'!$G$15="",0,IF($B65&lt;'信用保険料計算書（上限2000万）'!$G$15,0,IF($B65&gt;'信用保険料計算書（上限2000万）'!$G$16,0,1)))</f>
        <v>0</v>
      </c>
      <c r="G65" s="209">
        <f>IF(F65=1,HLOOKUP(C65,'計算書（第2回）'!$C$123:$U$124,2,TRUE),0)</f>
        <v>0</v>
      </c>
      <c r="H65" s="209">
        <f>IF('信用保険料計算書（上限2000万）'!$I$15="",0,IF($B65&lt;'信用保険料計算書（上限2000万）'!$I$15,0,IF($B65&gt;'信用保険料計算書（上限2000万）'!$I$16,0,1)))</f>
        <v>0</v>
      </c>
      <c r="I65" s="209">
        <f>IF(H65=1,HLOOKUP(C65,'計算書（第3回）'!$C$123:$U$124,2,TRUE),0)</f>
        <v>0</v>
      </c>
      <c r="J65" s="209">
        <f>IF('信用保険料計算書（上限2000万）'!$K$15="",0,IF($B65&lt;'信用保険料計算書（上限2000万）'!$K$15,0,IF($B65&gt;'信用保険料計算書（上限2000万）'!$K$16,0,1)))</f>
        <v>0</v>
      </c>
      <c r="K65" s="209">
        <f>IF(J65=1,HLOOKUP(C65,'計算書（第4回）'!$C$123:$U$124,2,TRUE),0)</f>
        <v>0</v>
      </c>
      <c r="L65" s="209">
        <f>IF('信用保険料計算書（上限2000万）'!$M$15="",0,IF($B65&lt;'信用保険料計算書（上限2000万）'!$M$15,0,IF($B65&gt;'信用保険料計算書（上限2000万）'!$M$16,0,1)))</f>
        <v>0</v>
      </c>
      <c r="M65" s="209">
        <f>IF(L65=1,HLOOKUP(C65,'計算書（第5回）'!$C$123:$U$124,2,TRUE),0)</f>
        <v>0</v>
      </c>
      <c r="N65" s="209">
        <f>IF('信用保険料計算書（上限2000万）'!$O$15="",0,IF($B65&lt;'信用保険料計算書（上限2000万）'!$O$15,0,IF($B65&gt;'信用保険料計算書（上限2000万）'!$O$16,0,1)))</f>
        <v>0</v>
      </c>
      <c r="O65" s="209">
        <f>IF(N65=1,HLOOKUP(C65,'計算書（第6回）'!$C$123:$U$124,2,TRUE),0)</f>
        <v>0</v>
      </c>
      <c r="P65" s="209">
        <f>IF('信用保険料計算書（上限2000万）'!$Q$15="",0,IF($B65&lt;'信用保険料計算書（上限2000万）'!$Q$15,0,IF($B65&gt;'信用保険料計算書（上限2000万）'!$Q$16,0,1)))</f>
        <v>0</v>
      </c>
      <c r="Q65" s="209">
        <f>IF(P65=1,HLOOKUP(C65,'計算書（第7回）'!$C$123:$U$124,2,TRUE),0)</f>
        <v>0</v>
      </c>
      <c r="R65" s="212"/>
      <c r="S65" s="211">
        <f>COUNTIF($AB$13:$AB$19,"&lt;=2016/6/1")</f>
        <v>0</v>
      </c>
      <c r="T65" s="178" t="e">
        <f t="shared" si="5"/>
        <v>#NUM!</v>
      </c>
      <c r="U65" s="181">
        <f t="shared" si="1"/>
        <v>0</v>
      </c>
      <c r="V65" s="182">
        <f t="shared" si="2"/>
        <v>0</v>
      </c>
      <c r="W65" s="245">
        <f t="shared" si="3"/>
        <v>0</v>
      </c>
      <c r="X65" s="182"/>
    </row>
    <row r="66" spans="2:24">
      <c r="B66" s="214">
        <f t="shared" si="4"/>
        <v>42552</v>
      </c>
      <c r="C66" s="198">
        <f t="shared" si="0"/>
        <v>42522</v>
      </c>
      <c r="D66" s="209">
        <f>IF(B66&lt;'信用保険料計算書（上限2000万）'!$E$15,0,IF(B66&gt;'信用保険料計算書（上限2000万）'!$E$16,0,1))</f>
        <v>0</v>
      </c>
      <c r="E66" s="209">
        <f>IF(D66=1,HLOOKUP(C66,'計算書（第1回）'!$C$123:$U$124,2,TRUE),0)</f>
        <v>0</v>
      </c>
      <c r="F66" s="209">
        <f>IF('信用保険料計算書（上限2000万）'!$G$15="",0,IF($B66&lt;'信用保険料計算書（上限2000万）'!$G$15,0,IF($B66&gt;'信用保険料計算書（上限2000万）'!$G$16,0,1)))</f>
        <v>0</v>
      </c>
      <c r="G66" s="209">
        <f>IF(F66=1,HLOOKUP(C66,'計算書（第2回）'!$C$123:$U$124,2,TRUE),0)</f>
        <v>0</v>
      </c>
      <c r="H66" s="209">
        <f>IF('信用保険料計算書（上限2000万）'!$I$15="",0,IF($B66&lt;'信用保険料計算書（上限2000万）'!$I$15,0,IF($B66&gt;'信用保険料計算書（上限2000万）'!$I$16,0,1)))</f>
        <v>0</v>
      </c>
      <c r="I66" s="209">
        <f>IF(H66=1,HLOOKUP(C66,'計算書（第3回）'!$C$123:$U$124,2,TRUE),0)</f>
        <v>0</v>
      </c>
      <c r="J66" s="209">
        <f>IF('信用保険料計算書（上限2000万）'!$K$15="",0,IF($B66&lt;'信用保険料計算書（上限2000万）'!$K$15,0,IF($B66&gt;'信用保険料計算書（上限2000万）'!$K$16,0,1)))</f>
        <v>0</v>
      </c>
      <c r="K66" s="209">
        <f>IF(J66=1,HLOOKUP(C66,'計算書（第4回）'!$C$123:$U$124,2,TRUE),0)</f>
        <v>0</v>
      </c>
      <c r="L66" s="209">
        <f>IF('信用保険料計算書（上限2000万）'!$M$15="",0,IF($B66&lt;'信用保険料計算書（上限2000万）'!$M$15,0,IF($B66&gt;'信用保険料計算書（上限2000万）'!$M$16,0,1)))</f>
        <v>0</v>
      </c>
      <c r="M66" s="209">
        <f>IF(L66=1,HLOOKUP(C66,'計算書（第5回）'!$C$123:$U$124,2,TRUE),0)</f>
        <v>0</v>
      </c>
      <c r="N66" s="209">
        <f>IF('信用保険料計算書（上限2000万）'!$O$15="",0,IF($B66&lt;'信用保険料計算書（上限2000万）'!$O$15,0,IF($B66&gt;'信用保険料計算書（上限2000万）'!$O$16,0,1)))</f>
        <v>0</v>
      </c>
      <c r="O66" s="209">
        <f>IF(N66=1,HLOOKUP(C66,'計算書（第6回）'!$C$123:$U$124,2,TRUE),0)</f>
        <v>0</v>
      </c>
      <c r="P66" s="209">
        <f>IF('信用保険料計算書（上限2000万）'!$Q$15="",0,IF($B66&lt;'信用保険料計算書（上限2000万）'!$Q$15,0,IF($B66&gt;'信用保険料計算書（上限2000万）'!$Q$16,0,1)))</f>
        <v>0</v>
      </c>
      <c r="Q66" s="209">
        <f>IF(P66=1,HLOOKUP(C66,'計算書（第7回）'!$C$123:$U$124,2,TRUE),0)</f>
        <v>0</v>
      </c>
      <c r="R66" s="212"/>
      <c r="S66" s="211">
        <f>COUNTIF($AB$13:$AB$19,"&lt;=2016/7/1")</f>
        <v>0</v>
      </c>
      <c r="T66" s="178" t="e">
        <f t="shared" si="5"/>
        <v>#NUM!</v>
      </c>
      <c r="U66" s="181">
        <f t="shared" si="1"/>
        <v>0</v>
      </c>
      <c r="V66" s="182">
        <f t="shared" si="2"/>
        <v>0</v>
      </c>
      <c r="W66" s="245">
        <f t="shared" si="3"/>
        <v>0</v>
      </c>
      <c r="X66" s="182"/>
    </row>
    <row r="67" spans="2:24">
      <c r="B67" s="214">
        <f t="shared" si="4"/>
        <v>42583</v>
      </c>
      <c r="C67" s="198">
        <f t="shared" ref="C67:C130" si="6">EDATE(B67,-1)</f>
        <v>42552</v>
      </c>
      <c r="D67" s="209">
        <f>IF(B67&lt;'信用保険料計算書（上限2000万）'!$E$15,0,IF(B67&gt;'信用保険料計算書（上限2000万）'!$E$16,0,1))</f>
        <v>0</v>
      </c>
      <c r="E67" s="209">
        <f>IF(D67=1,HLOOKUP(C67,'計算書（第1回）'!$C$123:$U$124,2,TRUE),0)</f>
        <v>0</v>
      </c>
      <c r="F67" s="209">
        <f>IF('信用保険料計算書（上限2000万）'!$G$15="",0,IF($B67&lt;'信用保険料計算書（上限2000万）'!$G$15,0,IF($B67&gt;'信用保険料計算書（上限2000万）'!$G$16,0,1)))</f>
        <v>0</v>
      </c>
      <c r="G67" s="209">
        <f>IF(F67=1,HLOOKUP(C67,'計算書（第2回）'!$C$123:$U$124,2,TRUE),0)</f>
        <v>0</v>
      </c>
      <c r="H67" s="209">
        <f>IF('信用保険料計算書（上限2000万）'!$I$15="",0,IF($B67&lt;'信用保険料計算書（上限2000万）'!$I$15,0,IF($B67&gt;'信用保険料計算書（上限2000万）'!$I$16,0,1)))</f>
        <v>0</v>
      </c>
      <c r="I67" s="209">
        <f>IF(H67=1,HLOOKUP(C67,'計算書（第3回）'!$C$123:$U$124,2,TRUE),0)</f>
        <v>0</v>
      </c>
      <c r="J67" s="209">
        <f>IF('信用保険料計算書（上限2000万）'!$K$15="",0,IF($B67&lt;'信用保険料計算書（上限2000万）'!$K$15,0,IF($B67&gt;'信用保険料計算書（上限2000万）'!$K$16,0,1)))</f>
        <v>0</v>
      </c>
      <c r="K67" s="209">
        <f>IF(J67=1,HLOOKUP(C67,'計算書（第4回）'!$C$123:$U$124,2,TRUE),0)</f>
        <v>0</v>
      </c>
      <c r="L67" s="209">
        <f>IF('信用保険料計算書（上限2000万）'!$M$15="",0,IF($B67&lt;'信用保険料計算書（上限2000万）'!$M$15,0,IF($B67&gt;'信用保険料計算書（上限2000万）'!$M$16,0,1)))</f>
        <v>0</v>
      </c>
      <c r="M67" s="209">
        <f>IF(L67=1,HLOOKUP(C67,'計算書（第5回）'!$C$123:$U$124,2,TRUE),0)</f>
        <v>0</v>
      </c>
      <c r="N67" s="209">
        <f>IF('信用保険料計算書（上限2000万）'!$O$15="",0,IF($B67&lt;'信用保険料計算書（上限2000万）'!$O$15,0,IF($B67&gt;'信用保険料計算書（上限2000万）'!$O$16,0,1)))</f>
        <v>0</v>
      </c>
      <c r="O67" s="209">
        <f>IF(N67=1,HLOOKUP(C67,'計算書（第6回）'!$C$123:$U$124,2,TRUE),0)</f>
        <v>0</v>
      </c>
      <c r="P67" s="209">
        <f>IF('信用保険料計算書（上限2000万）'!$Q$15="",0,IF($B67&lt;'信用保険料計算書（上限2000万）'!$Q$15,0,IF($B67&gt;'信用保険料計算書（上限2000万）'!$Q$16,0,1)))</f>
        <v>0</v>
      </c>
      <c r="Q67" s="209">
        <f>IF(P67=1,HLOOKUP(C67,'計算書（第7回）'!$C$123:$U$124,2,TRUE),0)</f>
        <v>0</v>
      </c>
      <c r="R67" s="212"/>
      <c r="S67" s="211">
        <f>COUNTIF($AB$13:$AB$19,"&lt;=2016/8/1")</f>
        <v>0</v>
      </c>
      <c r="T67" s="178" t="e">
        <f t="shared" si="5"/>
        <v>#NUM!</v>
      </c>
      <c r="U67" s="181">
        <f t="shared" ref="U67:U130" si="7">E67+G67+I67+K67+M67+O67+Q67</f>
        <v>0</v>
      </c>
      <c r="V67" s="182">
        <f t="shared" ref="V67:V101" si="8">IF(U67=0,0,IF(U67&gt;VLOOKUP(T67,$AA$5:$AB$8,2,TRUE),VLOOKUP(T67,$AA$5:$AB$8,2,TRUE),U67))</f>
        <v>0</v>
      </c>
      <c r="W67" s="245">
        <f t="shared" ref="W67:W130" si="9">IF(V67=0,0,ROUNDDOWN(V67*0.005/12,2))</f>
        <v>0</v>
      </c>
      <c r="X67" s="182"/>
    </row>
    <row r="68" spans="2:24">
      <c r="B68" s="214">
        <f t="shared" ref="B68:B131" si="10">EDATE(B67,1)</f>
        <v>42614</v>
      </c>
      <c r="C68" s="198">
        <f t="shared" si="6"/>
        <v>42583</v>
      </c>
      <c r="D68" s="209">
        <f>IF(B68&lt;'信用保険料計算書（上限2000万）'!$E$15,0,IF(B68&gt;'信用保険料計算書（上限2000万）'!$E$16,0,1))</f>
        <v>0</v>
      </c>
      <c r="E68" s="209">
        <f>IF(D68=1,HLOOKUP(C68,'計算書（第1回）'!$C$123:$U$124,2,TRUE),0)</f>
        <v>0</v>
      </c>
      <c r="F68" s="209">
        <f>IF('信用保険料計算書（上限2000万）'!$G$15="",0,IF($B68&lt;'信用保険料計算書（上限2000万）'!$G$15,0,IF($B68&gt;'信用保険料計算書（上限2000万）'!$G$16,0,1)))</f>
        <v>0</v>
      </c>
      <c r="G68" s="209">
        <f>IF(F68=1,HLOOKUP(C68,'計算書（第2回）'!$C$123:$U$124,2,TRUE),0)</f>
        <v>0</v>
      </c>
      <c r="H68" s="209">
        <f>IF('信用保険料計算書（上限2000万）'!$I$15="",0,IF($B68&lt;'信用保険料計算書（上限2000万）'!$I$15,0,IF($B68&gt;'信用保険料計算書（上限2000万）'!$I$16,0,1)))</f>
        <v>0</v>
      </c>
      <c r="I68" s="209">
        <f>IF(H68=1,HLOOKUP(C68,'計算書（第3回）'!$C$123:$U$124,2,TRUE),0)</f>
        <v>0</v>
      </c>
      <c r="J68" s="209">
        <f>IF('信用保険料計算書（上限2000万）'!$K$15="",0,IF($B68&lt;'信用保険料計算書（上限2000万）'!$K$15,0,IF($B68&gt;'信用保険料計算書（上限2000万）'!$K$16,0,1)))</f>
        <v>0</v>
      </c>
      <c r="K68" s="209">
        <f>IF(J68=1,HLOOKUP(C68,'計算書（第4回）'!$C$123:$U$124,2,TRUE),0)</f>
        <v>0</v>
      </c>
      <c r="L68" s="209">
        <f>IF('信用保険料計算書（上限2000万）'!$M$15="",0,IF($B68&lt;'信用保険料計算書（上限2000万）'!$M$15,0,IF($B68&gt;'信用保険料計算書（上限2000万）'!$M$16,0,1)))</f>
        <v>0</v>
      </c>
      <c r="M68" s="209">
        <f>IF(L68=1,HLOOKUP(C68,'計算書（第5回）'!$C$123:$U$124,2,TRUE),0)</f>
        <v>0</v>
      </c>
      <c r="N68" s="209">
        <f>IF('信用保険料計算書（上限2000万）'!$O$15="",0,IF($B68&lt;'信用保険料計算書（上限2000万）'!$O$15,0,IF($B68&gt;'信用保険料計算書（上限2000万）'!$O$16,0,1)))</f>
        <v>0</v>
      </c>
      <c r="O68" s="209">
        <f>IF(N68=1,HLOOKUP(C68,'計算書（第6回）'!$C$123:$U$124,2,TRUE),0)</f>
        <v>0</v>
      </c>
      <c r="P68" s="209">
        <f>IF('信用保険料計算書（上限2000万）'!$Q$15="",0,IF($B68&lt;'信用保険料計算書（上限2000万）'!$Q$15,0,IF($B68&gt;'信用保険料計算書（上限2000万）'!$Q$16,0,1)))</f>
        <v>0</v>
      </c>
      <c r="Q68" s="209">
        <f>IF(P68=1,HLOOKUP(C68,'計算書（第7回）'!$C$123:$U$124,2,TRUE),0)</f>
        <v>0</v>
      </c>
      <c r="R68" s="212"/>
      <c r="S68" s="211">
        <f>COUNTIF($AB$13:$AB$19,"&lt;=2016/9/1")</f>
        <v>0</v>
      </c>
      <c r="T68" s="178" t="e">
        <f t="shared" ref="T68:T131" si="11">IF(S68="","",SMALL($AB$13:$AB$19,$S68))</f>
        <v>#NUM!</v>
      </c>
      <c r="U68" s="181">
        <f t="shared" si="7"/>
        <v>0</v>
      </c>
      <c r="V68" s="182">
        <f t="shared" si="8"/>
        <v>0</v>
      </c>
      <c r="W68" s="245">
        <f t="shared" si="9"/>
        <v>0</v>
      </c>
      <c r="X68" s="183">
        <f>INT(SUM(W63:W68))</f>
        <v>0</v>
      </c>
    </row>
    <row r="69" spans="2:24">
      <c r="B69" s="214">
        <f t="shared" si="10"/>
        <v>42644</v>
      </c>
      <c r="C69" s="198">
        <f t="shared" si="6"/>
        <v>42614</v>
      </c>
      <c r="D69" s="209">
        <f>IF(B69&lt;'信用保険料計算書（上限2000万）'!$E$15,0,IF(B69&gt;'信用保険料計算書（上限2000万）'!$E$16,0,1))</f>
        <v>0</v>
      </c>
      <c r="E69" s="209">
        <f>IF(D69=1,HLOOKUP(C69,'計算書（第1回）'!$C$123:$U$124,2,TRUE),0)</f>
        <v>0</v>
      </c>
      <c r="F69" s="209">
        <f>IF('信用保険料計算書（上限2000万）'!$G$15="",0,IF($B69&lt;'信用保険料計算書（上限2000万）'!$G$15,0,IF($B69&gt;'信用保険料計算書（上限2000万）'!$G$16,0,1)))</f>
        <v>0</v>
      </c>
      <c r="G69" s="209">
        <f>IF(F69=1,HLOOKUP(C69,'計算書（第2回）'!$C$123:$U$124,2,TRUE),0)</f>
        <v>0</v>
      </c>
      <c r="H69" s="209">
        <f>IF('信用保険料計算書（上限2000万）'!$I$15="",0,IF($B69&lt;'信用保険料計算書（上限2000万）'!$I$15,0,IF($B69&gt;'信用保険料計算書（上限2000万）'!$I$16,0,1)))</f>
        <v>0</v>
      </c>
      <c r="I69" s="209">
        <f>IF(H69=1,HLOOKUP(C69,'計算書（第3回）'!$C$123:$U$124,2,TRUE),0)</f>
        <v>0</v>
      </c>
      <c r="J69" s="209">
        <f>IF('信用保険料計算書（上限2000万）'!$K$15="",0,IF($B69&lt;'信用保険料計算書（上限2000万）'!$K$15,0,IF($B69&gt;'信用保険料計算書（上限2000万）'!$K$16,0,1)))</f>
        <v>0</v>
      </c>
      <c r="K69" s="209">
        <f>IF(J69=1,HLOOKUP(C69,'計算書（第4回）'!$C$123:$U$124,2,TRUE),0)</f>
        <v>0</v>
      </c>
      <c r="L69" s="209">
        <f>IF('信用保険料計算書（上限2000万）'!$M$15="",0,IF($B69&lt;'信用保険料計算書（上限2000万）'!$M$15,0,IF($B69&gt;'信用保険料計算書（上限2000万）'!$M$16,0,1)))</f>
        <v>0</v>
      </c>
      <c r="M69" s="209">
        <f>IF(L69=1,HLOOKUP(C69,'計算書（第5回）'!$C$123:$U$124,2,TRUE),0)</f>
        <v>0</v>
      </c>
      <c r="N69" s="209">
        <f>IF('信用保険料計算書（上限2000万）'!$O$15="",0,IF($B69&lt;'信用保険料計算書（上限2000万）'!$O$15,0,IF($B69&gt;'信用保険料計算書（上限2000万）'!$O$16,0,1)))</f>
        <v>0</v>
      </c>
      <c r="O69" s="209">
        <f>IF(N69=1,HLOOKUP(C69,'計算書（第6回）'!$C$123:$U$124,2,TRUE),0)</f>
        <v>0</v>
      </c>
      <c r="P69" s="209">
        <f>IF('信用保険料計算書（上限2000万）'!$Q$15="",0,IF($B69&lt;'信用保険料計算書（上限2000万）'!$Q$15,0,IF($B69&gt;'信用保険料計算書（上限2000万）'!$Q$16,0,1)))</f>
        <v>0</v>
      </c>
      <c r="Q69" s="209">
        <f>IF(P69=1,HLOOKUP(C69,'計算書（第7回）'!$C$123:$U$124,2,TRUE),0)</f>
        <v>0</v>
      </c>
      <c r="R69" s="212"/>
      <c r="S69" s="211">
        <f>COUNTIF($AB$13:$AB$19,"&lt;=2016/10/1")</f>
        <v>0</v>
      </c>
      <c r="T69" s="178" t="e">
        <f t="shared" si="11"/>
        <v>#NUM!</v>
      </c>
      <c r="U69" s="181">
        <f t="shared" si="7"/>
        <v>0</v>
      </c>
      <c r="V69" s="182">
        <f t="shared" si="8"/>
        <v>0</v>
      </c>
      <c r="W69" s="245">
        <f t="shared" si="9"/>
        <v>0</v>
      </c>
      <c r="X69" s="182"/>
    </row>
    <row r="70" spans="2:24">
      <c r="B70" s="214">
        <f t="shared" si="10"/>
        <v>42675</v>
      </c>
      <c r="C70" s="198">
        <f t="shared" si="6"/>
        <v>42644</v>
      </c>
      <c r="D70" s="209">
        <f>IF(B70&lt;'信用保険料計算書（上限2000万）'!$E$15,0,IF(B70&gt;'信用保険料計算書（上限2000万）'!$E$16,0,1))</f>
        <v>0</v>
      </c>
      <c r="E70" s="209">
        <f>IF(D70=1,HLOOKUP(C70,'計算書（第1回）'!$C$123:$U$124,2,TRUE),0)</f>
        <v>0</v>
      </c>
      <c r="F70" s="209">
        <f>IF('信用保険料計算書（上限2000万）'!$G$15="",0,IF($B70&lt;'信用保険料計算書（上限2000万）'!$G$15,0,IF($B70&gt;'信用保険料計算書（上限2000万）'!$G$16,0,1)))</f>
        <v>0</v>
      </c>
      <c r="G70" s="209">
        <f>IF(F70=1,HLOOKUP(C70,'計算書（第2回）'!$C$123:$U$124,2,TRUE),0)</f>
        <v>0</v>
      </c>
      <c r="H70" s="209">
        <f>IF('信用保険料計算書（上限2000万）'!$I$15="",0,IF($B70&lt;'信用保険料計算書（上限2000万）'!$I$15,0,IF($B70&gt;'信用保険料計算書（上限2000万）'!$I$16,0,1)))</f>
        <v>0</v>
      </c>
      <c r="I70" s="209">
        <f>IF(H70=1,HLOOKUP(C70,'計算書（第3回）'!$C$123:$U$124,2,TRUE),0)</f>
        <v>0</v>
      </c>
      <c r="J70" s="209">
        <f>IF('信用保険料計算書（上限2000万）'!$K$15="",0,IF($B70&lt;'信用保険料計算書（上限2000万）'!$K$15,0,IF($B70&gt;'信用保険料計算書（上限2000万）'!$K$16,0,1)))</f>
        <v>0</v>
      </c>
      <c r="K70" s="209">
        <f>IF(J70=1,HLOOKUP(C70,'計算書（第4回）'!$C$123:$U$124,2,TRUE),0)</f>
        <v>0</v>
      </c>
      <c r="L70" s="209">
        <f>IF('信用保険料計算書（上限2000万）'!$M$15="",0,IF($B70&lt;'信用保険料計算書（上限2000万）'!$M$15,0,IF($B70&gt;'信用保険料計算書（上限2000万）'!$M$16,0,1)))</f>
        <v>0</v>
      </c>
      <c r="M70" s="209">
        <f>IF(L70=1,HLOOKUP(C70,'計算書（第5回）'!$C$123:$U$124,2,TRUE),0)</f>
        <v>0</v>
      </c>
      <c r="N70" s="209">
        <f>IF('信用保険料計算書（上限2000万）'!$O$15="",0,IF($B70&lt;'信用保険料計算書（上限2000万）'!$O$15,0,IF($B70&gt;'信用保険料計算書（上限2000万）'!$O$16,0,1)))</f>
        <v>0</v>
      </c>
      <c r="O70" s="209">
        <f>IF(N70=1,HLOOKUP(C70,'計算書（第6回）'!$C$123:$U$124,2,TRUE),0)</f>
        <v>0</v>
      </c>
      <c r="P70" s="209">
        <f>IF('信用保険料計算書（上限2000万）'!$Q$15="",0,IF($B70&lt;'信用保険料計算書（上限2000万）'!$Q$15,0,IF($B70&gt;'信用保険料計算書（上限2000万）'!$Q$16,0,1)))</f>
        <v>0</v>
      </c>
      <c r="Q70" s="209">
        <f>IF(P70=1,HLOOKUP(C70,'計算書（第7回）'!$C$123:$U$124,2,TRUE),0)</f>
        <v>0</v>
      </c>
      <c r="R70" s="212"/>
      <c r="S70" s="211">
        <f>COUNTIF($AB$13:$AB$19,"&lt;=2016/11/1")</f>
        <v>0</v>
      </c>
      <c r="T70" s="178" t="e">
        <f t="shared" si="11"/>
        <v>#NUM!</v>
      </c>
      <c r="U70" s="181">
        <f t="shared" si="7"/>
        <v>0</v>
      </c>
      <c r="V70" s="182">
        <f t="shared" si="8"/>
        <v>0</v>
      </c>
      <c r="W70" s="245">
        <f t="shared" si="9"/>
        <v>0</v>
      </c>
      <c r="X70" s="182"/>
    </row>
    <row r="71" spans="2:24">
      <c r="B71" s="214">
        <f t="shared" si="10"/>
        <v>42705</v>
      </c>
      <c r="C71" s="198">
        <f t="shared" si="6"/>
        <v>42675</v>
      </c>
      <c r="D71" s="209">
        <f>IF(B71&lt;'信用保険料計算書（上限2000万）'!$E$15,0,IF(B71&gt;'信用保険料計算書（上限2000万）'!$E$16,0,1))</f>
        <v>0</v>
      </c>
      <c r="E71" s="209">
        <f>IF(D71=1,HLOOKUP(C71,'計算書（第1回）'!$C$123:$U$124,2,TRUE),0)</f>
        <v>0</v>
      </c>
      <c r="F71" s="209">
        <f>IF('信用保険料計算書（上限2000万）'!$G$15="",0,IF($B71&lt;'信用保険料計算書（上限2000万）'!$G$15,0,IF($B71&gt;'信用保険料計算書（上限2000万）'!$G$16,0,1)))</f>
        <v>0</v>
      </c>
      <c r="G71" s="209">
        <f>IF(F71=1,HLOOKUP(C71,'計算書（第2回）'!$C$123:$U$124,2,TRUE),0)</f>
        <v>0</v>
      </c>
      <c r="H71" s="209">
        <f>IF('信用保険料計算書（上限2000万）'!$I$15="",0,IF($B71&lt;'信用保険料計算書（上限2000万）'!$I$15,0,IF($B71&gt;'信用保険料計算書（上限2000万）'!$I$16,0,1)))</f>
        <v>0</v>
      </c>
      <c r="I71" s="209">
        <f>IF(H71=1,HLOOKUP(C71,'計算書（第3回）'!$C$123:$U$124,2,TRUE),0)</f>
        <v>0</v>
      </c>
      <c r="J71" s="209">
        <f>IF('信用保険料計算書（上限2000万）'!$K$15="",0,IF($B71&lt;'信用保険料計算書（上限2000万）'!$K$15,0,IF($B71&gt;'信用保険料計算書（上限2000万）'!$K$16,0,1)))</f>
        <v>0</v>
      </c>
      <c r="K71" s="209">
        <f>IF(J71=1,HLOOKUP(C71,'計算書（第4回）'!$C$123:$U$124,2,TRUE),0)</f>
        <v>0</v>
      </c>
      <c r="L71" s="209">
        <f>IF('信用保険料計算書（上限2000万）'!$M$15="",0,IF($B71&lt;'信用保険料計算書（上限2000万）'!$M$15,0,IF($B71&gt;'信用保険料計算書（上限2000万）'!$M$16,0,1)))</f>
        <v>0</v>
      </c>
      <c r="M71" s="209">
        <f>IF(L71=1,HLOOKUP(C71,'計算書（第5回）'!$C$123:$U$124,2,TRUE),0)</f>
        <v>0</v>
      </c>
      <c r="N71" s="209">
        <f>IF('信用保険料計算書（上限2000万）'!$O$15="",0,IF($B71&lt;'信用保険料計算書（上限2000万）'!$O$15,0,IF($B71&gt;'信用保険料計算書（上限2000万）'!$O$16,0,1)))</f>
        <v>0</v>
      </c>
      <c r="O71" s="209">
        <f>IF(N71=1,HLOOKUP(C71,'計算書（第6回）'!$C$123:$U$124,2,TRUE),0)</f>
        <v>0</v>
      </c>
      <c r="P71" s="209">
        <f>IF('信用保険料計算書（上限2000万）'!$Q$15="",0,IF($B71&lt;'信用保険料計算書（上限2000万）'!$Q$15,0,IF($B71&gt;'信用保険料計算書（上限2000万）'!$Q$16,0,1)))</f>
        <v>0</v>
      </c>
      <c r="Q71" s="209">
        <f>IF(P71=1,HLOOKUP(C71,'計算書（第7回）'!$C$123:$U$124,2,TRUE),0)</f>
        <v>0</v>
      </c>
      <c r="R71" s="212"/>
      <c r="S71" s="211">
        <f>COUNTIF($AB$13:$AB$19,"&lt;=2016/12/1")</f>
        <v>0</v>
      </c>
      <c r="T71" s="178" t="e">
        <f t="shared" si="11"/>
        <v>#NUM!</v>
      </c>
      <c r="U71" s="181">
        <f t="shared" si="7"/>
        <v>0</v>
      </c>
      <c r="V71" s="182">
        <f t="shared" si="8"/>
        <v>0</v>
      </c>
      <c r="W71" s="245">
        <f t="shared" si="9"/>
        <v>0</v>
      </c>
      <c r="X71" s="182"/>
    </row>
    <row r="72" spans="2:24">
      <c r="B72" s="214">
        <f t="shared" si="10"/>
        <v>42736</v>
      </c>
      <c r="C72" s="198">
        <f t="shared" si="6"/>
        <v>42705</v>
      </c>
      <c r="D72" s="209">
        <f>IF(B72&lt;'信用保険料計算書（上限2000万）'!$E$15,0,IF(B72&gt;'信用保険料計算書（上限2000万）'!$E$16,0,1))</f>
        <v>0</v>
      </c>
      <c r="E72" s="209">
        <f>IF(D72=1,HLOOKUP(C72,'計算書（第1回）'!$C$123:$U$124,2,TRUE),0)</f>
        <v>0</v>
      </c>
      <c r="F72" s="209">
        <f>IF('信用保険料計算書（上限2000万）'!$G$15="",0,IF($B72&lt;'信用保険料計算書（上限2000万）'!$G$15,0,IF($B72&gt;'信用保険料計算書（上限2000万）'!$G$16,0,1)))</f>
        <v>0</v>
      </c>
      <c r="G72" s="209">
        <f>IF(F72=1,HLOOKUP(C72,'計算書（第2回）'!$C$123:$U$124,2,TRUE),0)</f>
        <v>0</v>
      </c>
      <c r="H72" s="209">
        <f>IF('信用保険料計算書（上限2000万）'!$I$15="",0,IF($B72&lt;'信用保険料計算書（上限2000万）'!$I$15,0,IF($B72&gt;'信用保険料計算書（上限2000万）'!$I$16,0,1)))</f>
        <v>0</v>
      </c>
      <c r="I72" s="209">
        <f>IF(H72=1,HLOOKUP(C72,'計算書（第3回）'!$C$123:$U$124,2,TRUE),0)</f>
        <v>0</v>
      </c>
      <c r="J72" s="209">
        <f>IF('信用保険料計算書（上限2000万）'!$K$15="",0,IF($B72&lt;'信用保険料計算書（上限2000万）'!$K$15,0,IF($B72&gt;'信用保険料計算書（上限2000万）'!$K$16,0,1)))</f>
        <v>0</v>
      </c>
      <c r="K72" s="209">
        <f>IF(J72=1,HLOOKUP(C72,'計算書（第4回）'!$C$123:$U$124,2,TRUE),0)</f>
        <v>0</v>
      </c>
      <c r="L72" s="209">
        <f>IF('信用保険料計算書（上限2000万）'!$M$15="",0,IF($B72&lt;'信用保険料計算書（上限2000万）'!$M$15,0,IF($B72&gt;'信用保険料計算書（上限2000万）'!$M$16,0,1)))</f>
        <v>0</v>
      </c>
      <c r="M72" s="209">
        <f>IF(L72=1,HLOOKUP(C72,'計算書（第5回）'!$C$123:$U$124,2,TRUE),0)</f>
        <v>0</v>
      </c>
      <c r="N72" s="209">
        <f>IF('信用保険料計算書（上限2000万）'!$O$15="",0,IF($B72&lt;'信用保険料計算書（上限2000万）'!$O$15,0,IF($B72&gt;'信用保険料計算書（上限2000万）'!$O$16,0,1)))</f>
        <v>0</v>
      </c>
      <c r="O72" s="209">
        <f>IF(N72=1,HLOOKUP(C72,'計算書（第6回）'!$C$123:$U$124,2,TRUE),0)</f>
        <v>0</v>
      </c>
      <c r="P72" s="209">
        <f>IF('信用保険料計算書（上限2000万）'!$Q$15="",0,IF($B72&lt;'信用保険料計算書（上限2000万）'!$Q$15,0,IF($B72&gt;'信用保険料計算書（上限2000万）'!$Q$16,0,1)))</f>
        <v>0</v>
      </c>
      <c r="Q72" s="209">
        <f>IF(P72=1,HLOOKUP(C72,'計算書（第7回）'!$C$123:$U$124,2,TRUE),0)</f>
        <v>0</v>
      </c>
      <c r="R72" s="213"/>
      <c r="S72" s="211">
        <f>COUNTIF($AB$13:$AB$19,"&lt;=2017/1/1")</f>
        <v>0</v>
      </c>
      <c r="T72" s="178" t="e">
        <f t="shared" si="11"/>
        <v>#NUM!</v>
      </c>
      <c r="U72" s="181">
        <f t="shared" si="7"/>
        <v>0</v>
      </c>
      <c r="V72" s="182">
        <f t="shared" si="8"/>
        <v>0</v>
      </c>
      <c r="W72" s="245">
        <f t="shared" si="9"/>
        <v>0</v>
      </c>
      <c r="X72" s="182"/>
    </row>
    <row r="73" spans="2:24">
      <c r="B73" s="214">
        <f t="shared" si="10"/>
        <v>42767</v>
      </c>
      <c r="C73" s="198">
        <f t="shared" si="6"/>
        <v>42736</v>
      </c>
      <c r="D73" s="209">
        <f>IF(B73&lt;'信用保険料計算書（上限2000万）'!$E$15,0,IF(B73&gt;'信用保険料計算書（上限2000万）'!$E$16,0,1))</f>
        <v>0</v>
      </c>
      <c r="E73" s="209">
        <f>IF(D73=1,HLOOKUP(C73,'計算書（第1回）'!$C$123:$U$124,2,TRUE),0)</f>
        <v>0</v>
      </c>
      <c r="F73" s="209">
        <f>IF('信用保険料計算書（上限2000万）'!$G$15="",0,IF($B73&lt;'信用保険料計算書（上限2000万）'!$G$15,0,IF($B73&gt;'信用保険料計算書（上限2000万）'!$G$16,0,1)))</f>
        <v>0</v>
      </c>
      <c r="G73" s="209">
        <f>IF(F73=1,HLOOKUP(C73,'計算書（第2回）'!$C$123:$U$124,2,TRUE),0)</f>
        <v>0</v>
      </c>
      <c r="H73" s="209">
        <f>IF('信用保険料計算書（上限2000万）'!$I$15="",0,IF($B73&lt;'信用保険料計算書（上限2000万）'!$I$15,0,IF($B73&gt;'信用保険料計算書（上限2000万）'!$I$16,0,1)))</f>
        <v>0</v>
      </c>
      <c r="I73" s="209">
        <f>IF(H73=1,HLOOKUP(C73,'計算書（第3回）'!$C$123:$U$124,2,TRUE),0)</f>
        <v>0</v>
      </c>
      <c r="J73" s="209">
        <f>IF('信用保険料計算書（上限2000万）'!$K$15="",0,IF($B73&lt;'信用保険料計算書（上限2000万）'!$K$15,0,IF($B73&gt;'信用保険料計算書（上限2000万）'!$K$16,0,1)))</f>
        <v>0</v>
      </c>
      <c r="K73" s="209">
        <f>IF(J73=1,HLOOKUP(C73,'計算書（第4回）'!$C$123:$U$124,2,TRUE),0)</f>
        <v>0</v>
      </c>
      <c r="L73" s="209">
        <f>IF('信用保険料計算書（上限2000万）'!$M$15="",0,IF($B73&lt;'信用保険料計算書（上限2000万）'!$M$15,0,IF($B73&gt;'信用保険料計算書（上限2000万）'!$M$16,0,1)))</f>
        <v>0</v>
      </c>
      <c r="M73" s="209">
        <f>IF(L73=1,HLOOKUP(C73,'計算書（第5回）'!$C$123:$U$124,2,TRUE),0)</f>
        <v>0</v>
      </c>
      <c r="N73" s="209">
        <f>IF('信用保険料計算書（上限2000万）'!$O$15="",0,IF($B73&lt;'信用保険料計算書（上限2000万）'!$O$15,0,IF($B73&gt;'信用保険料計算書（上限2000万）'!$O$16,0,1)))</f>
        <v>0</v>
      </c>
      <c r="O73" s="209">
        <f>IF(N73=1,HLOOKUP(C73,'計算書（第6回）'!$C$123:$U$124,2,TRUE),0)</f>
        <v>0</v>
      </c>
      <c r="P73" s="209">
        <f>IF('信用保険料計算書（上限2000万）'!$Q$15="",0,IF($B73&lt;'信用保険料計算書（上限2000万）'!$Q$15,0,IF($B73&gt;'信用保険料計算書（上限2000万）'!$Q$16,0,1)))</f>
        <v>0</v>
      </c>
      <c r="Q73" s="209">
        <f>IF(P73=1,HLOOKUP(C73,'計算書（第7回）'!$C$123:$U$124,2,TRUE),0)</f>
        <v>0</v>
      </c>
      <c r="R73" s="213"/>
      <c r="S73" s="211">
        <f>COUNTIF($AB$13:$AB$19,"&lt;=2017/2/1")</f>
        <v>0</v>
      </c>
      <c r="T73" s="178" t="e">
        <f t="shared" si="11"/>
        <v>#NUM!</v>
      </c>
      <c r="U73" s="181">
        <f t="shared" si="7"/>
        <v>0</v>
      </c>
      <c r="V73" s="182">
        <f t="shared" si="8"/>
        <v>0</v>
      </c>
      <c r="W73" s="245">
        <f t="shared" si="9"/>
        <v>0</v>
      </c>
      <c r="X73" s="182"/>
    </row>
    <row r="74" spans="2:24">
      <c r="B74" s="214">
        <f t="shared" si="10"/>
        <v>42795</v>
      </c>
      <c r="C74" s="198">
        <f t="shared" si="6"/>
        <v>42767</v>
      </c>
      <c r="D74" s="209">
        <f>IF(B74&lt;'信用保険料計算書（上限2000万）'!$E$15,0,IF(B74&gt;'信用保険料計算書（上限2000万）'!$E$16,0,1))</f>
        <v>0</v>
      </c>
      <c r="E74" s="209">
        <f>IF(D74=1,HLOOKUP(C74,'計算書（第1回）'!$C$123:$U$124,2,TRUE),0)</f>
        <v>0</v>
      </c>
      <c r="F74" s="209">
        <f>IF('信用保険料計算書（上限2000万）'!$G$15="",0,IF($B74&lt;'信用保険料計算書（上限2000万）'!$G$15,0,IF($B74&gt;'信用保険料計算書（上限2000万）'!$G$16,0,1)))</f>
        <v>0</v>
      </c>
      <c r="G74" s="209">
        <f>IF(F74=1,HLOOKUP(C74,'計算書（第2回）'!$C$123:$U$124,2,TRUE),0)</f>
        <v>0</v>
      </c>
      <c r="H74" s="209">
        <f>IF('信用保険料計算書（上限2000万）'!$I$15="",0,IF($B74&lt;'信用保険料計算書（上限2000万）'!$I$15,0,IF($B74&gt;'信用保険料計算書（上限2000万）'!$I$16,0,1)))</f>
        <v>0</v>
      </c>
      <c r="I74" s="209">
        <f>IF(H74=1,HLOOKUP(C74,'計算書（第3回）'!$C$123:$U$124,2,TRUE),0)</f>
        <v>0</v>
      </c>
      <c r="J74" s="209">
        <f>IF('信用保険料計算書（上限2000万）'!$K$15="",0,IF($B74&lt;'信用保険料計算書（上限2000万）'!$K$15,0,IF($B74&gt;'信用保険料計算書（上限2000万）'!$K$16,0,1)))</f>
        <v>0</v>
      </c>
      <c r="K74" s="209">
        <f>IF(J74=1,HLOOKUP(C74,'計算書（第4回）'!$C$123:$U$124,2,TRUE),0)</f>
        <v>0</v>
      </c>
      <c r="L74" s="209">
        <f>IF('信用保険料計算書（上限2000万）'!$M$15="",0,IF($B74&lt;'信用保険料計算書（上限2000万）'!$M$15,0,IF($B74&gt;'信用保険料計算書（上限2000万）'!$M$16,0,1)))</f>
        <v>0</v>
      </c>
      <c r="M74" s="209">
        <f>IF(L74=1,HLOOKUP(C74,'計算書（第5回）'!$C$123:$U$124,2,TRUE),0)</f>
        <v>0</v>
      </c>
      <c r="N74" s="209">
        <f>IF('信用保険料計算書（上限2000万）'!$O$15="",0,IF($B74&lt;'信用保険料計算書（上限2000万）'!$O$15,0,IF($B74&gt;'信用保険料計算書（上限2000万）'!$O$16,0,1)))</f>
        <v>0</v>
      </c>
      <c r="O74" s="209">
        <f>IF(N74=1,HLOOKUP(C74,'計算書（第6回）'!$C$123:$U$124,2,TRUE),0)</f>
        <v>0</v>
      </c>
      <c r="P74" s="209">
        <f>IF('信用保険料計算書（上限2000万）'!$Q$15="",0,IF($B74&lt;'信用保険料計算書（上限2000万）'!$Q$15,0,IF($B74&gt;'信用保険料計算書（上限2000万）'!$Q$16,0,1)))</f>
        <v>0</v>
      </c>
      <c r="Q74" s="209">
        <f>IF(P74=1,HLOOKUP(C74,'計算書（第7回）'!$C$123:$U$124,2,TRUE),0)</f>
        <v>0</v>
      </c>
      <c r="R74" s="213"/>
      <c r="S74" s="211">
        <f>COUNTIF($AB$13:$AB$19,"&lt;=2017/3/1")</f>
        <v>0</v>
      </c>
      <c r="T74" s="178" t="e">
        <f t="shared" si="11"/>
        <v>#NUM!</v>
      </c>
      <c r="U74" s="181">
        <f t="shared" si="7"/>
        <v>0</v>
      </c>
      <c r="V74" s="182">
        <f t="shared" si="8"/>
        <v>0</v>
      </c>
      <c r="W74" s="245">
        <f t="shared" si="9"/>
        <v>0</v>
      </c>
      <c r="X74" s="183">
        <f>INT(SUM(W69:W74))</f>
        <v>0</v>
      </c>
    </row>
    <row r="75" spans="2:24">
      <c r="B75" s="214">
        <f t="shared" si="10"/>
        <v>42826</v>
      </c>
      <c r="C75" s="198">
        <f t="shared" si="6"/>
        <v>42795</v>
      </c>
      <c r="D75" s="209">
        <f>IF(B75&lt;'信用保険料計算書（上限2000万）'!$E$15,0,IF(B75&gt;'信用保険料計算書（上限2000万）'!$E$16,0,1))</f>
        <v>0</v>
      </c>
      <c r="E75" s="209">
        <f>IF(D75=1,HLOOKUP(C75,'計算書（第1回）'!$C$123:$U$124,2,TRUE),0)</f>
        <v>0</v>
      </c>
      <c r="F75" s="209">
        <f>IF('信用保険料計算書（上限2000万）'!$G$15="",0,IF($B75&lt;'信用保険料計算書（上限2000万）'!$G$15,0,IF($B75&gt;'信用保険料計算書（上限2000万）'!$G$16,0,1)))</f>
        <v>0</v>
      </c>
      <c r="G75" s="209">
        <f>IF(F75=1,HLOOKUP(C75,'計算書（第2回）'!$C$123:$U$124,2,TRUE),0)</f>
        <v>0</v>
      </c>
      <c r="H75" s="209">
        <f>IF('信用保険料計算書（上限2000万）'!$I$15="",0,IF($B75&lt;'信用保険料計算書（上限2000万）'!$I$15,0,IF($B75&gt;'信用保険料計算書（上限2000万）'!$I$16,0,1)))</f>
        <v>0</v>
      </c>
      <c r="I75" s="209">
        <f>IF(H75=1,HLOOKUP(C75,'計算書（第3回）'!$C$123:$U$124,2,TRUE),0)</f>
        <v>0</v>
      </c>
      <c r="J75" s="209">
        <f>IF('信用保険料計算書（上限2000万）'!$K$15="",0,IF($B75&lt;'信用保険料計算書（上限2000万）'!$K$15,0,IF($B75&gt;'信用保険料計算書（上限2000万）'!$K$16,0,1)))</f>
        <v>0</v>
      </c>
      <c r="K75" s="209">
        <f>IF(J75=1,HLOOKUP(C75,'計算書（第4回）'!$C$123:$U$124,2,TRUE),0)</f>
        <v>0</v>
      </c>
      <c r="L75" s="209">
        <f>IF('信用保険料計算書（上限2000万）'!$M$15="",0,IF($B75&lt;'信用保険料計算書（上限2000万）'!$M$15,0,IF($B75&gt;'信用保険料計算書（上限2000万）'!$M$16,0,1)))</f>
        <v>0</v>
      </c>
      <c r="M75" s="209">
        <f>IF(L75=1,HLOOKUP(C75,'計算書（第5回）'!$C$123:$U$124,2,TRUE),0)</f>
        <v>0</v>
      </c>
      <c r="N75" s="209">
        <f>IF('信用保険料計算書（上限2000万）'!$O$15="",0,IF($B75&lt;'信用保険料計算書（上限2000万）'!$O$15,0,IF($B75&gt;'信用保険料計算書（上限2000万）'!$O$16,0,1)))</f>
        <v>0</v>
      </c>
      <c r="O75" s="209">
        <f>IF(N75=1,HLOOKUP(C75,'計算書（第6回）'!$C$123:$U$124,2,TRUE),0)</f>
        <v>0</v>
      </c>
      <c r="P75" s="209">
        <f>IF('信用保険料計算書（上限2000万）'!$Q$15="",0,IF($B75&lt;'信用保険料計算書（上限2000万）'!$Q$15,0,IF($B75&gt;'信用保険料計算書（上限2000万）'!$Q$16,0,1)))</f>
        <v>0</v>
      </c>
      <c r="Q75" s="209">
        <f>IF(P75=1,HLOOKUP(C75,'計算書（第7回）'!$C$123:$U$124,2,TRUE),0)</f>
        <v>0</v>
      </c>
      <c r="R75" s="213"/>
      <c r="S75" s="211">
        <f>COUNTIF($AB$13:$AB$19,"&lt;=2017/4/1")</f>
        <v>0</v>
      </c>
      <c r="T75" s="178" t="e">
        <f t="shared" si="11"/>
        <v>#NUM!</v>
      </c>
      <c r="U75" s="181">
        <f t="shared" si="7"/>
        <v>0</v>
      </c>
      <c r="V75" s="182">
        <f t="shared" si="8"/>
        <v>0</v>
      </c>
      <c r="W75" s="245">
        <f t="shared" si="9"/>
        <v>0</v>
      </c>
      <c r="X75" s="182"/>
    </row>
    <row r="76" spans="2:24">
      <c r="B76" s="214">
        <f t="shared" si="10"/>
        <v>42856</v>
      </c>
      <c r="C76" s="198">
        <f t="shared" si="6"/>
        <v>42826</v>
      </c>
      <c r="D76" s="209">
        <f>IF(B76&lt;'信用保険料計算書（上限2000万）'!$E$15,0,IF(B76&gt;'信用保険料計算書（上限2000万）'!$E$16,0,1))</f>
        <v>0</v>
      </c>
      <c r="E76" s="209">
        <f>IF(D76=1,HLOOKUP(C76,'計算書（第1回）'!$C$123:$U$124,2,TRUE),0)</f>
        <v>0</v>
      </c>
      <c r="F76" s="209">
        <f>IF('信用保険料計算書（上限2000万）'!$G$15="",0,IF($B76&lt;'信用保険料計算書（上限2000万）'!$G$15,0,IF($B76&gt;'信用保険料計算書（上限2000万）'!$G$16,0,1)))</f>
        <v>0</v>
      </c>
      <c r="G76" s="209">
        <f>IF(F76=1,HLOOKUP(C76,'計算書（第2回）'!$C$123:$U$124,2,TRUE),0)</f>
        <v>0</v>
      </c>
      <c r="H76" s="209">
        <f>IF('信用保険料計算書（上限2000万）'!$I$15="",0,IF($B76&lt;'信用保険料計算書（上限2000万）'!$I$15,0,IF($B76&gt;'信用保険料計算書（上限2000万）'!$I$16,0,1)))</f>
        <v>0</v>
      </c>
      <c r="I76" s="209">
        <f>IF(H76=1,HLOOKUP(C76,'計算書（第3回）'!$C$123:$U$124,2,TRUE),0)</f>
        <v>0</v>
      </c>
      <c r="J76" s="209">
        <f>IF('信用保険料計算書（上限2000万）'!$K$15="",0,IF($B76&lt;'信用保険料計算書（上限2000万）'!$K$15,0,IF($B76&gt;'信用保険料計算書（上限2000万）'!$K$16,0,1)))</f>
        <v>0</v>
      </c>
      <c r="K76" s="209">
        <f>IF(J76=1,HLOOKUP(C76,'計算書（第4回）'!$C$123:$U$124,2,TRUE),0)</f>
        <v>0</v>
      </c>
      <c r="L76" s="209">
        <f>IF('信用保険料計算書（上限2000万）'!$M$15="",0,IF($B76&lt;'信用保険料計算書（上限2000万）'!$M$15,0,IF($B76&gt;'信用保険料計算書（上限2000万）'!$M$16,0,1)))</f>
        <v>0</v>
      </c>
      <c r="M76" s="209">
        <f>IF(L76=1,HLOOKUP(C76,'計算書（第5回）'!$C$123:$U$124,2,TRUE),0)</f>
        <v>0</v>
      </c>
      <c r="N76" s="209">
        <f>IF('信用保険料計算書（上限2000万）'!$O$15="",0,IF($B76&lt;'信用保険料計算書（上限2000万）'!$O$15,0,IF($B76&gt;'信用保険料計算書（上限2000万）'!$O$16,0,1)))</f>
        <v>0</v>
      </c>
      <c r="O76" s="209">
        <f>IF(N76=1,HLOOKUP(C76,'計算書（第6回）'!$C$123:$U$124,2,TRUE),0)</f>
        <v>0</v>
      </c>
      <c r="P76" s="209">
        <f>IF('信用保険料計算書（上限2000万）'!$Q$15="",0,IF($B76&lt;'信用保険料計算書（上限2000万）'!$Q$15,0,IF($B76&gt;'信用保険料計算書（上限2000万）'!$Q$16,0,1)))</f>
        <v>0</v>
      </c>
      <c r="Q76" s="209">
        <f>IF(P76=1,HLOOKUP(C76,'計算書（第7回）'!$C$123:$U$124,2,TRUE),0)</f>
        <v>0</v>
      </c>
      <c r="R76" s="213"/>
      <c r="S76" s="211">
        <f>COUNTIF($AB$13:$AB$19,"&lt;=2017/5/1")</f>
        <v>0</v>
      </c>
      <c r="T76" s="178" t="e">
        <f t="shared" si="11"/>
        <v>#NUM!</v>
      </c>
      <c r="U76" s="181">
        <f t="shared" si="7"/>
        <v>0</v>
      </c>
      <c r="V76" s="182">
        <f t="shared" si="8"/>
        <v>0</v>
      </c>
      <c r="W76" s="245">
        <f t="shared" si="9"/>
        <v>0</v>
      </c>
      <c r="X76" s="182"/>
    </row>
    <row r="77" spans="2:24">
      <c r="B77" s="214">
        <f t="shared" si="10"/>
        <v>42887</v>
      </c>
      <c r="C77" s="198">
        <f t="shared" si="6"/>
        <v>42856</v>
      </c>
      <c r="D77" s="209">
        <f>IF(B77&lt;'信用保険料計算書（上限2000万）'!$E$15,0,IF(B77&gt;'信用保険料計算書（上限2000万）'!$E$16,0,1))</f>
        <v>0</v>
      </c>
      <c r="E77" s="209">
        <f>IF(D77=1,HLOOKUP(C77,'計算書（第1回）'!$C$123:$U$124,2,TRUE),0)</f>
        <v>0</v>
      </c>
      <c r="F77" s="209">
        <f>IF('信用保険料計算書（上限2000万）'!$G$15="",0,IF($B77&lt;'信用保険料計算書（上限2000万）'!$G$15,0,IF($B77&gt;'信用保険料計算書（上限2000万）'!$G$16,0,1)))</f>
        <v>0</v>
      </c>
      <c r="G77" s="209">
        <f>IF(F77=1,HLOOKUP(C77,'計算書（第2回）'!$C$123:$U$124,2,TRUE),0)</f>
        <v>0</v>
      </c>
      <c r="H77" s="209">
        <f>IF('信用保険料計算書（上限2000万）'!$I$15="",0,IF($B77&lt;'信用保険料計算書（上限2000万）'!$I$15,0,IF($B77&gt;'信用保険料計算書（上限2000万）'!$I$16,0,1)))</f>
        <v>0</v>
      </c>
      <c r="I77" s="209">
        <f>IF(H77=1,HLOOKUP(C77,'計算書（第3回）'!$C$123:$U$124,2,TRUE),0)</f>
        <v>0</v>
      </c>
      <c r="J77" s="209">
        <f>IF('信用保険料計算書（上限2000万）'!$K$15="",0,IF($B77&lt;'信用保険料計算書（上限2000万）'!$K$15,0,IF($B77&gt;'信用保険料計算書（上限2000万）'!$K$16,0,1)))</f>
        <v>0</v>
      </c>
      <c r="K77" s="209">
        <f>IF(J77=1,HLOOKUP(C77,'計算書（第4回）'!$C$123:$U$124,2,TRUE),0)</f>
        <v>0</v>
      </c>
      <c r="L77" s="209">
        <f>IF('信用保険料計算書（上限2000万）'!$M$15="",0,IF($B77&lt;'信用保険料計算書（上限2000万）'!$M$15,0,IF($B77&gt;'信用保険料計算書（上限2000万）'!$M$16,0,1)))</f>
        <v>0</v>
      </c>
      <c r="M77" s="209">
        <f>IF(L77=1,HLOOKUP(C77,'計算書（第5回）'!$C$123:$U$124,2,TRUE),0)</f>
        <v>0</v>
      </c>
      <c r="N77" s="209">
        <f>IF('信用保険料計算書（上限2000万）'!$O$15="",0,IF($B77&lt;'信用保険料計算書（上限2000万）'!$O$15,0,IF($B77&gt;'信用保険料計算書（上限2000万）'!$O$16,0,1)))</f>
        <v>0</v>
      </c>
      <c r="O77" s="209">
        <f>IF(N77=1,HLOOKUP(C77,'計算書（第6回）'!$C$123:$U$124,2,TRUE),0)</f>
        <v>0</v>
      </c>
      <c r="P77" s="209">
        <f>IF('信用保険料計算書（上限2000万）'!$Q$15="",0,IF($B77&lt;'信用保険料計算書（上限2000万）'!$Q$15,0,IF($B77&gt;'信用保険料計算書（上限2000万）'!$Q$16,0,1)))</f>
        <v>0</v>
      </c>
      <c r="Q77" s="209">
        <f>IF(P77=1,HLOOKUP(C77,'計算書（第7回）'!$C$123:$U$124,2,TRUE),0)</f>
        <v>0</v>
      </c>
      <c r="R77" s="213"/>
      <c r="S77" s="211">
        <f>COUNTIF($AB$13:$AB$19,"&lt;=2017/6/1")</f>
        <v>0</v>
      </c>
      <c r="T77" s="178" t="e">
        <f t="shared" si="11"/>
        <v>#NUM!</v>
      </c>
      <c r="U77" s="181">
        <f t="shared" si="7"/>
        <v>0</v>
      </c>
      <c r="V77" s="182">
        <f t="shared" si="8"/>
        <v>0</v>
      </c>
      <c r="W77" s="245">
        <f t="shared" si="9"/>
        <v>0</v>
      </c>
      <c r="X77" s="182"/>
    </row>
    <row r="78" spans="2:24">
      <c r="B78" s="214">
        <f t="shared" si="10"/>
        <v>42917</v>
      </c>
      <c r="C78" s="198">
        <f t="shared" si="6"/>
        <v>42887</v>
      </c>
      <c r="D78" s="209">
        <f>IF(B78&lt;'信用保険料計算書（上限2000万）'!$E$15,0,IF(B78&gt;'信用保険料計算書（上限2000万）'!$E$16,0,1))</f>
        <v>0</v>
      </c>
      <c r="E78" s="209">
        <f>IF(D78=1,HLOOKUP(C78,'計算書（第1回）'!$C$123:$U$124,2,TRUE),0)</f>
        <v>0</v>
      </c>
      <c r="F78" s="209">
        <f>IF('信用保険料計算書（上限2000万）'!$G$15="",0,IF($B78&lt;'信用保険料計算書（上限2000万）'!$G$15,0,IF($B78&gt;'信用保険料計算書（上限2000万）'!$G$16,0,1)))</f>
        <v>0</v>
      </c>
      <c r="G78" s="209">
        <f>IF(F78=1,HLOOKUP(C78,'計算書（第2回）'!$C$123:$U$124,2,TRUE),0)</f>
        <v>0</v>
      </c>
      <c r="H78" s="209">
        <f>IF('信用保険料計算書（上限2000万）'!$I$15="",0,IF($B78&lt;'信用保険料計算書（上限2000万）'!$I$15,0,IF($B78&gt;'信用保険料計算書（上限2000万）'!$I$16,0,1)))</f>
        <v>0</v>
      </c>
      <c r="I78" s="209">
        <f>IF(H78=1,HLOOKUP(C78,'計算書（第3回）'!$C$123:$U$124,2,TRUE),0)</f>
        <v>0</v>
      </c>
      <c r="J78" s="209">
        <f>IF('信用保険料計算書（上限2000万）'!$K$15="",0,IF($B78&lt;'信用保険料計算書（上限2000万）'!$K$15,0,IF($B78&gt;'信用保険料計算書（上限2000万）'!$K$16,0,1)))</f>
        <v>0</v>
      </c>
      <c r="K78" s="209">
        <f>IF(J78=1,HLOOKUP(C78,'計算書（第4回）'!$C$123:$U$124,2,TRUE),0)</f>
        <v>0</v>
      </c>
      <c r="L78" s="209">
        <f>IF('信用保険料計算書（上限2000万）'!$M$15="",0,IF($B78&lt;'信用保険料計算書（上限2000万）'!$M$15,0,IF($B78&gt;'信用保険料計算書（上限2000万）'!$M$16,0,1)))</f>
        <v>0</v>
      </c>
      <c r="M78" s="209">
        <f>IF(L78=1,HLOOKUP(C78,'計算書（第5回）'!$C$123:$U$124,2,TRUE),0)</f>
        <v>0</v>
      </c>
      <c r="N78" s="209">
        <f>IF('信用保険料計算書（上限2000万）'!$O$15="",0,IF($B78&lt;'信用保険料計算書（上限2000万）'!$O$15,0,IF($B78&gt;'信用保険料計算書（上限2000万）'!$O$16,0,1)))</f>
        <v>0</v>
      </c>
      <c r="O78" s="209">
        <f>IF(N78=1,HLOOKUP(C78,'計算書（第6回）'!$C$123:$U$124,2,TRUE),0)</f>
        <v>0</v>
      </c>
      <c r="P78" s="209">
        <f>IF('信用保険料計算書（上限2000万）'!$Q$15="",0,IF($B78&lt;'信用保険料計算書（上限2000万）'!$Q$15,0,IF($B78&gt;'信用保険料計算書（上限2000万）'!$Q$16,0,1)))</f>
        <v>0</v>
      </c>
      <c r="Q78" s="209">
        <f>IF(P78=1,HLOOKUP(C78,'計算書（第7回）'!$C$123:$U$124,2,TRUE),0)</f>
        <v>0</v>
      </c>
      <c r="R78" s="213"/>
      <c r="S78" s="211">
        <f>COUNTIF($AB$13:$AB$19,"&lt;=2017/7/1")</f>
        <v>0</v>
      </c>
      <c r="T78" s="178" t="e">
        <f t="shared" si="11"/>
        <v>#NUM!</v>
      </c>
      <c r="U78" s="181">
        <f t="shared" si="7"/>
        <v>0</v>
      </c>
      <c r="V78" s="182">
        <f t="shared" si="8"/>
        <v>0</v>
      </c>
      <c r="W78" s="245">
        <f t="shared" si="9"/>
        <v>0</v>
      </c>
      <c r="X78" s="182"/>
    </row>
    <row r="79" spans="2:24">
      <c r="B79" s="214">
        <f t="shared" si="10"/>
        <v>42948</v>
      </c>
      <c r="C79" s="198">
        <f t="shared" si="6"/>
        <v>42917</v>
      </c>
      <c r="D79" s="209">
        <f>IF(B79&lt;'信用保険料計算書（上限2000万）'!$E$15,0,IF(B79&gt;'信用保険料計算書（上限2000万）'!$E$16,0,1))</f>
        <v>0</v>
      </c>
      <c r="E79" s="209">
        <f>IF(D79=1,HLOOKUP(C79,'計算書（第1回）'!$C$123:$U$124,2,TRUE),0)</f>
        <v>0</v>
      </c>
      <c r="F79" s="209">
        <f>IF('信用保険料計算書（上限2000万）'!$G$15="",0,IF($B79&lt;'信用保険料計算書（上限2000万）'!$G$15,0,IF($B79&gt;'信用保険料計算書（上限2000万）'!$G$16,0,1)))</f>
        <v>0</v>
      </c>
      <c r="G79" s="209">
        <f>IF(F79=1,HLOOKUP(C79,'計算書（第2回）'!$C$123:$U$124,2,TRUE),0)</f>
        <v>0</v>
      </c>
      <c r="H79" s="209">
        <f>IF('信用保険料計算書（上限2000万）'!$I$15="",0,IF($B79&lt;'信用保険料計算書（上限2000万）'!$I$15,0,IF($B79&gt;'信用保険料計算書（上限2000万）'!$I$16,0,1)))</f>
        <v>0</v>
      </c>
      <c r="I79" s="209">
        <f>IF(H79=1,HLOOKUP(C79,'計算書（第3回）'!$C$123:$U$124,2,TRUE),0)</f>
        <v>0</v>
      </c>
      <c r="J79" s="209">
        <f>IF('信用保険料計算書（上限2000万）'!$K$15="",0,IF($B79&lt;'信用保険料計算書（上限2000万）'!$K$15,0,IF($B79&gt;'信用保険料計算書（上限2000万）'!$K$16,0,1)))</f>
        <v>0</v>
      </c>
      <c r="K79" s="209">
        <f>IF(J79=1,HLOOKUP(C79,'計算書（第4回）'!$C$123:$U$124,2,TRUE),0)</f>
        <v>0</v>
      </c>
      <c r="L79" s="209">
        <f>IF('信用保険料計算書（上限2000万）'!$M$15="",0,IF($B79&lt;'信用保険料計算書（上限2000万）'!$M$15,0,IF($B79&gt;'信用保険料計算書（上限2000万）'!$M$16,0,1)))</f>
        <v>0</v>
      </c>
      <c r="M79" s="209">
        <f>IF(L79=1,HLOOKUP(C79,'計算書（第5回）'!$C$123:$U$124,2,TRUE),0)</f>
        <v>0</v>
      </c>
      <c r="N79" s="209">
        <f>IF('信用保険料計算書（上限2000万）'!$O$15="",0,IF($B79&lt;'信用保険料計算書（上限2000万）'!$O$15,0,IF($B79&gt;'信用保険料計算書（上限2000万）'!$O$16,0,1)))</f>
        <v>0</v>
      </c>
      <c r="O79" s="209">
        <f>IF(N79=1,HLOOKUP(C79,'計算書（第6回）'!$C$123:$U$124,2,TRUE),0)</f>
        <v>0</v>
      </c>
      <c r="P79" s="209">
        <f>IF('信用保険料計算書（上限2000万）'!$Q$15="",0,IF($B79&lt;'信用保険料計算書（上限2000万）'!$Q$15,0,IF($B79&gt;'信用保険料計算書（上限2000万）'!$Q$16,0,1)))</f>
        <v>0</v>
      </c>
      <c r="Q79" s="209">
        <f>IF(P79=1,HLOOKUP(C79,'計算書（第7回）'!$C$123:$U$124,2,TRUE),0)</f>
        <v>0</v>
      </c>
      <c r="R79" s="213"/>
      <c r="S79" s="211">
        <f>COUNTIF($AB$13:$AB$19,"&lt;=2017/8/1")</f>
        <v>0</v>
      </c>
      <c r="T79" s="178" t="e">
        <f t="shared" si="11"/>
        <v>#NUM!</v>
      </c>
      <c r="U79" s="181">
        <f t="shared" si="7"/>
        <v>0</v>
      </c>
      <c r="V79" s="182">
        <f t="shared" si="8"/>
        <v>0</v>
      </c>
      <c r="W79" s="245">
        <f t="shared" si="9"/>
        <v>0</v>
      </c>
      <c r="X79" s="182"/>
    </row>
    <row r="80" spans="2:24">
      <c r="B80" s="214">
        <f t="shared" si="10"/>
        <v>42979</v>
      </c>
      <c r="C80" s="198">
        <f t="shared" si="6"/>
        <v>42948</v>
      </c>
      <c r="D80" s="209">
        <f>IF(B80&lt;'信用保険料計算書（上限2000万）'!$E$15,0,IF(B80&gt;'信用保険料計算書（上限2000万）'!$E$16,0,1))</f>
        <v>0</v>
      </c>
      <c r="E80" s="209">
        <f>IF(D80=1,HLOOKUP(C80,'計算書（第1回）'!$C$123:$U$124,2,TRUE),0)</f>
        <v>0</v>
      </c>
      <c r="F80" s="209">
        <f>IF('信用保険料計算書（上限2000万）'!$G$15="",0,IF($B80&lt;'信用保険料計算書（上限2000万）'!$G$15,0,IF($B80&gt;'信用保険料計算書（上限2000万）'!$G$16,0,1)))</f>
        <v>0</v>
      </c>
      <c r="G80" s="209">
        <f>IF(F80=1,HLOOKUP(C80,'計算書（第2回）'!$C$123:$U$124,2,TRUE),0)</f>
        <v>0</v>
      </c>
      <c r="H80" s="209">
        <f>IF('信用保険料計算書（上限2000万）'!$I$15="",0,IF($B80&lt;'信用保険料計算書（上限2000万）'!$I$15,0,IF($B80&gt;'信用保険料計算書（上限2000万）'!$I$16,0,1)))</f>
        <v>0</v>
      </c>
      <c r="I80" s="209">
        <f>IF(H80=1,HLOOKUP(C80,'計算書（第3回）'!$C$123:$U$124,2,TRUE),0)</f>
        <v>0</v>
      </c>
      <c r="J80" s="209">
        <f>IF('信用保険料計算書（上限2000万）'!$K$15="",0,IF($B80&lt;'信用保険料計算書（上限2000万）'!$K$15,0,IF($B80&gt;'信用保険料計算書（上限2000万）'!$K$16,0,1)))</f>
        <v>0</v>
      </c>
      <c r="K80" s="209">
        <f>IF(J80=1,HLOOKUP(C80,'計算書（第4回）'!$C$123:$U$124,2,TRUE),0)</f>
        <v>0</v>
      </c>
      <c r="L80" s="209">
        <f>IF('信用保険料計算書（上限2000万）'!$M$15="",0,IF($B80&lt;'信用保険料計算書（上限2000万）'!$M$15,0,IF($B80&gt;'信用保険料計算書（上限2000万）'!$M$16,0,1)))</f>
        <v>0</v>
      </c>
      <c r="M80" s="209">
        <f>IF(L80=1,HLOOKUP(C80,'計算書（第5回）'!$C$123:$U$124,2,TRUE),0)</f>
        <v>0</v>
      </c>
      <c r="N80" s="209">
        <f>IF('信用保険料計算書（上限2000万）'!$O$15="",0,IF($B80&lt;'信用保険料計算書（上限2000万）'!$O$15,0,IF($B80&gt;'信用保険料計算書（上限2000万）'!$O$16,0,1)))</f>
        <v>0</v>
      </c>
      <c r="O80" s="209">
        <f>IF(N80=1,HLOOKUP(C80,'計算書（第6回）'!$C$123:$U$124,2,TRUE),0)</f>
        <v>0</v>
      </c>
      <c r="P80" s="209">
        <f>IF('信用保険料計算書（上限2000万）'!$Q$15="",0,IF($B80&lt;'信用保険料計算書（上限2000万）'!$Q$15,0,IF($B80&gt;'信用保険料計算書（上限2000万）'!$Q$16,0,1)))</f>
        <v>0</v>
      </c>
      <c r="Q80" s="209">
        <f>IF(P80=1,HLOOKUP(C80,'計算書（第7回）'!$C$123:$U$124,2,TRUE),0)</f>
        <v>0</v>
      </c>
      <c r="R80" s="213"/>
      <c r="S80" s="211">
        <f>COUNTIF($AB$13:$AB$19,"&lt;=2017/9/1")</f>
        <v>0</v>
      </c>
      <c r="T80" s="178" t="e">
        <f t="shared" si="11"/>
        <v>#NUM!</v>
      </c>
      <c r="U80" s="181">
        <f t="shared" si="7"/>
        <v>0</v>
      </c>
      <c r="V80" s="182">
        <f t="shared" si="8"/>
        <v>0</v>
      </c>
      <c r="W80" s="245">
        <f t="shared" si="9"/>
        <v>0</v>
      </c>
      <c r="X80" s="183">
        <f>INT(SUM(W75:W80))</f>
        <v>0</v>
      </c>
    </row>
    <row r="81" spans="2:26">
      <c r="B81" s="214">
        <f t="shared" si="10"/>
        <v>43009</v>
      </c>
      <c r="C81" s="198">
        <f t="shared" si="6"/>
        <v>42979</v>
      </c>
      <c r="D81" s="209">
        <f>IF(B81&lt;'信用保険料計算書（上限2000万）'!$E$15,0,IF(B81&gt;'信用保険料計算書（上限2000万）'!$E$16,0,1))</f>
        <v>0</v>
      </c>
      <c r="E81" s="209">
        <f>IF(D81=1,HLOOKUP(C81,'計算書（第1回）'!$C$123:$U$124,2,TRUE),0)</f>
        <v>0</v>
      </c>
      <c r="F81" s="209">
        <f>IF('信用保険料計算書（上限2000万）'!$G$15="",0,IF($B81&lt;'信用保険料計算書（上限2000万）'!$G$15,0,IF($B81&gt;'信用保険料計算書（上限2000万）'!$G$16,0,1)))</f>
        <v>0</v>
      </c>
      <c r="G81" s="209">
        <f>IF(F81=1,HLOOKUP(C81,'計算書（第2回）'!$C$123:$U$124,2,TRUE),0)</f>
        <v>0</v>
      </c>
      <c r="H81" s="209">
        <f>IF('信用保険料計算書（上限2000万）'!$I$15="",0,IF($B81&lt;'信用保険料計算書（上限2000万）'!$I$15,0,IF($B81&gt;'信用保険料計算書（上限2000万）'!$I$16,0,1)))</f>
        <v>0</v>
      </c>
      <c r="I81" s="209">
        <f>IF(H81=1,HLOOKUP(C81,'計算書（第3回）'!$C$123:$U$124,2,TRUE),0)</f>
        <v>0</v>
      </c>
      <c r="J81" s="209">
        <f>IF('信用保険料計算書（上限2000万）'!$K$15="",0,IF($B81&lt;'信用保険料計算書（上限2000万）'!$K$15,0,IF($B81&gt;'信用保険料計算書（上限2000万）'!$K$16,0,1)))</f>
        <v>0</v>
      </c>
      <c r="K81" s="209">
        <f>IF(J81=1,HLOOKUP(C81,'計算書（第4回）'!$C$123:$U$124,2,TRUE),0)</f>
        <v>0</v>
      </c>
      <c r="L81" s="209">
        <f>IF('信用保険料計算書（上限2000万）'!$M$15="",0,IF($B81&lt;'信用保険料計算書（上限2000万）'!$M$15,0,IF($B81&gt;'信用保険料計算書（上限2000万）'!$M$16,0,1)))</f>
        <v>0</v>
      </c>
      <c r="M81" s="209">
        <f>IF(L81=1,HLOOKUP(C81,'計算書（第5回）'!$C$123:$U$124,2,TRUE),0)</f>
        <v>0</v>
      </c>
      <c r="N81" s="209">
        <f>IF('信用保険料計算書（上限2000万）'!$O$15="",0,IF($B81&lt;'信用保険料計算書（上限2000万）'!$O$15,0,IF($B81&gt;'信用保険料計算書（上限2000万）'!$O$16,0,1)))</f>
        <v>0</v>
      </c>
      <c r="O81" s="209">
        <f>IF(N81=1,HLOOKUP(C81,'計算書（第6回）'!$C$123:$U$124,2,TRUE),0)</f>
        <v>0</v>
      </c>
      <c r="P81" s="209">
        <f>IF('信用保険料計算書（上限2000万）'!$Q$15="",0,IF($B81&lt;'信用保険料計算書（上限2000万）'!$Q$15,0,IF($B81&gt;'信用保険料計算書（上限2000万）'!$Q$16,0,1)))</f>
        <v>0</v>
      </c>
      <c r="Q81" s="209">
        <f>IF(P81=1,HLOOKUP(C81,'計算書（第7回）'!$C$123:$U$124,2,TRUE),0)</f>
        <v>0</v>
      </c>
      <c r="R81" s="213"/>
      <c r="S81" s="211">
        <f>COUNTIF($AB$13:$AB$19,"&lt;=2017/10/1")</f>
        <v>0</v>
      </c>
      <c r="T81" s="178" t="e">
        <f t="shared" si="11"/>
        <v>#NUM!</v>
      </c>
      <c r="U81" s="181">
        <f t="shared" si="7"/>
        <v>0</v>
      </c>
      <c r="V81" s="182">
        <f t="shared" si="8"/>
        <v>0</v>
      </c>
      <c r="W81" s="245">
        <f t="shared" si="9"/>
        <v>0</v>
      </c>
      <c r="X81" s="182"/>
    </row>
    <row r="82" spans="2:26">
      <c r="B82" s="214">
        <f t="shared" si="10"/>
        <v>43040</v>
      </c>
      <c r="C82" s="198">
        <f t="shared" si="6"/>
        <v>43009</v>
      </c>
      <c r="D82" s="209">
        <f>IF(B82&lt;'信用保険料計算書（上限2000万）'!$E$15,0,IF(B82&gt;'信用保険料計算書（上限2000万）'!$E$16,0,1))</f>
        <v>0</v>
      </c>
      <c r="E82" s="209">
        <f>IF(D82=1,HLOOKUP(C82,'計算書（第1回）'!$C$123:$U$124,2,TRUE),0)</f>
        <v>0</v>
      </c>
      <c r="F82" s="209">
        <f>IF('信用保険料計算書（上限2000万）'!$G$15="",0,IF($B82&lt;'信用保険料計算書（上限2000万）'!$G$15,0,IF($B82&gt;'信用保険料計算書（上限2000万）'!$G$16,0,1)))</f>
        <v>0</v>
      </c>
      <c r="G82" s="209">
        <f>IF(F82=1,HLOOKUP(C82,'計算書（第2回）'!$C$123:$U$124,2,TRUE),0)</f>
        <v>0</v>
      </c>
      <c r="H82" s="209">
        <f>IF('信用保険料計算書（上限2000万）'!$I$15="",0,IF($B82&lt;'信用保険料計算書（上限2000万）'!$I$15,0,IF($B82&gt;'信用保険料計算書（上限2000万）'!$I$16,0,1)))</f>
        <v>0</v>
      </c>
      <c r="I82" s="209">
        <f>IF(H82=1,HLOOKUP(C82,'計算書（第3回）'!$C$123:$U$124,2,TRUE),0)</f>
        <v>0</v>
      </c>
      <c r="J82" s="209">
        <f>IF('信用保険料計算書（上限2000万）'!$K$15="",0,IF($B82&lt;'信用保険料計算書（上限2000万）'!$K$15,0,IF($B82&gt;'信用保険料計算書（上限2000万）'!$K$16,0,1)))</f>
        <v>0</v>
      </c>
      <c r="K82" s="209">
        <f>IF(J82=1,HLOOKUP(C82,'計算書（第4回）'!$C$123:$U$124,2,TRUE),0)</f>
        <v>0</v>
      </c>
      <c r="L82" s="209">
        <f>IF('信用保険料計算書（上限2000万）'!$M$15="",0,IF($B82&lt;'信用保険料計算書（上限2000万）'!$M$15,0,IF($B82&gt;'信用保険料計算書（上限2000万）'!$M$16,0,1)))</f>
        <v>0</v>
      </c>
      <c r="M82" s="209">
        <f>IF(L82=1,HLOOKUP(C82,'計算書（第5回）'!$C$123:$U$124,2,TRUE),0)</f>
        <v>0</v>
      </c>
      <c r="N82" s="209">
        <f>IF('信用保険料計算書（上限2000万）'!$O$15="",0,IF($B82&lt;'信用保険料計算書（上限2000万）'!$O$15,0,IF($B82&gt;'信用保険料計算書（上限2000万）'!$O$16,0,1)))</f>
        <v>0</v>
      </c>
      <c r="O82" s="209">
        <f>IF(N82=1,HLOOKUP(C82,'計算書（第6回）'!$C$123:$U$124,2,TRUE),0)</f>
        <v>0</v>
      </c>
      <c r="P82" s="209">
        <f>IF('信用保険料計算書（上限2000万）'!$Q$15="",0,IF($B82&lt;'信用保険料計算書（上限2000万）'!$Q$15,0,IF($B82&gt;'信用保険料計算書（上限2000万）'!$Q$16,0,1)))</f>
        <v>0</v>
      </c>
      <c r="Q82" s="209">
        <f>IF(P82=1,HLOOKUP(C82,'計算書（第7回）'!$C$123:$U$124,2,TRUE),0)</f>
        <v>0</v>
      </c>
      <c r="R82" s="213"/>
      <c r="S82" s="211">
        <f>COUNTIF($AB$13:$AB$19,"&lt;=2017/11/1")</f>
        <v>0</v>
      </c>
      <c r="T82" s="178" t="e">
        <f t="shared" si="11"/>
        <v>#NUM!</v>
      </c>
      <c r="U82" s="181">
        <f t="shared" si="7"/>
        <v>0</v>
      </c>
      <c r="V82" s="182">
        <f t="shared" si="8"/>
        <v>0</v>
      </c>
      <c r="W82" s="245">
        <f t="shared" si="9"/>
        <v>0</v>
      </c>
      <c r="X82" s="182"/>
    </row>
    <row r="83" spans="2:26">
      <c r="B83" s="214">
        <f t="shared" si="10"/>
        <v>43070</v>
      </c>
      <c r="C83" s="198">
        <f t="shared" si="6"/>
        <v>43040</v>
      </c>
      <c r="D83" s="209">
        <f>IF(B83&lt;'信用保険料計算書（上限2000万）'!$E$15,0,IF(B83&gt;'信用保険料計算書（上限2000万）'!$E$16,0,1))</f>
        <v>0</v>
      </c>
      <c r="E83" s="209">
        <f>IF(D83=1,HLOOKUP(C83,'計算書（第1回）'!$C$123:$U$124,2,TRUE),0)</f>
        <v>0</v>
      </c>
      <c r="F83" s="209">
        <f>IF('信用保険料計算書（上限2000万）'!$G$15="",0,IF($B83&lt;'信用保険料計算書（上限2000万）'!$G$15,0,IF($B83&gt;'信用保険料計算書（上限2000万）'!$G$16,0,1)))</f>
        <v>0</v>
      </c>
      <c r="G83" s="209">
        <f>IF(F83=1,HLOOKUP(C83,'計算書（第2回）'!$C$123:$U$124,2,TRUE),0)</f>
        <v>0</v>
      </c>
      <c r="H83" s="209">
        <f>IF('信用保険料計算書（上限2000万）'!$I$15="",0,IF($B83&lt;'信用保険料計算書（上限2000万）'!$I$15,0,IF($B83&gt;'信用保険料計算書（上限2000万）'!$I$16,0,1)))</f>
        <v>0</v>
      </c>
      <c r="I83" s="209">
        <f>IF(H83=1,HLOOKUP(C83,'計算書（第3回）'!$C$123:$U$124,2,TRUE),0)</f>
        <v>0</v>
      </c>
      <c r="J83" s="209">
        <f>IF('信用保険料計算書（上限2000万）'!$K$15="",0,IF($B83&lt;'信用保険料計算書（上限2000万）'!$K$15,0,IF($B83&gt;'信用保険料計算書（上限2000万）'!$K$16,0,1)))</f>
        <v>0</v>
      </c>
      <c r="K83" s="209">
        <f>IF(J83=1,HLOOKUP(C83,'計算書（第4回）'!$C$123:$U$124,2,TRUE),0)</f>
        <v>0</v>
      </c>
      <c r="L83" s="209">
        <f>IF('信用保険料計算書（上限2000万）'!$M$15="",0,IF($B83&lt;'信用保険料計算書（上限2000万）'!$M$15,0,IF($B83&gt;'信用保険料計算書（上限2000万）'!$M$16,0,1)))</f>
        <v>0</v>
      </c>
      <c r="M83" s="209">
        <f>IF(L83=1,HLOOKUP(C83,'計算書（第5回）'!$C$123:$U$124,2,TRUE),0)</f>
        <v>0</v>
      </c>
      <c r="N83" s="209">
        <f>IF('信用保険料計算書（上限2000万）'!$O$15="",0,IF($B83&lt;'信用保険料計算書（上限2000万）'!$O$15,0,IF($B83&gt;'信用保険料計算書（上限2000万）'!$O$16,0,1)))</f>
        <v>0</v>
      </c>
      <c r="O83" s="209">
        <f>IF(N83=1,HLOOKUP(C83,'計算書（第6回）'!$C$123:$U$124,2,TRUE),0)</f>
        <v>0</v>
      </c>
      <c r="P83" s="209">
        <f>IF('信用保険料計算書（上限2000万）'!$Q$15="",0,IF($B83&lt;'信用保険料計算書（上限2000万）'!$Q$15,0,IF($B83&gt;'信用保険料計算書（上限2000万）'!$Q$16,0,1)))</f>
        <v>0</v>
      </c>
      <c r="Q83" s="209">
        <f>IF(P83=1,HLOOKUP(C83,'計算書（第7回）'!$C$123:$U$124,2,TRUE),0)</f>
        <v>0</v>
      </c>
      <c r="R83" s="213"/>
      <c r="S83" s="211">
        <f>COUNTIF($AB$13:$AB$19,"&lt;=2017/12/1")</f>
        <v>0</v>
      </c>
      <c r="T83" s="178" t="e">
        <f t="shared" si="11"/>
        <v>#NUM!</v>
      </c>
      <c r="U83" s="181">
        <f t="shared" si="7"/>
        <v>0</v>
      </c>
      <c r="V83" s="182">
        <f t="shared" si="8"/>
        <v>0</v>
      </c>
      <c r="W83" s="245">
        <f t="shared" si="9"/>
        <v>0</v>
      </c>
      <c r="X83" s="182"/>
    </row>
    <row r="84" spans="2:26">
      <c r="B84" s="214">
        <f t="shared" si="10"/>
        <v>43101</v>
      </c>
      <c r="C84" s="198">
        <f t="shared" si="6"/>
        <v>43070</v>
      </c>
      <c r="D84" s="209">
        <f>IF(B84&lt;'信用保険料計算書（上限2000万）'!$E$15,0,IF(B84&gt;'信用保険料計算書（上限2000万）'!$E$16,0,1))</f>
        <v>0</v>
      </c>
      <c r="E84" s="209">
        <f>IF(D84=1,HLOOKUP(C84,'計算書（第1回）'!$C$123:$U$124,2,TRUE),0)</f>
        <v>0</v>
      </c>
      <c r="F84" s="209">
        <f>IF('信用保険料計算書（上限2000万）'!$G$15="",0,IF($B84&lt;'信用保険料計算書（上限2000万）'!$G$15,0,IF($B84&gt;'信用保険料計算書（上限2000万）'!$G$16,0,1)))</f>
        <v>0</v>
      </c>
      <c r="G84" s="209">
        <f>IF(F84=1,HLOOKUP(C84,'計算書（第2回）'!$C$123:$U$124,2,TRUE),0)</f>
        <v>0</v>
      </c>
      <c r="H84" s="209">
        <f>IF('信用保険料計算書（上限2000万）'!$I$15="",0,IF($B84&lt;'信用保険料計算書（上限2000万）'!$I$15,0,IF($B84&gt;'信用保険料計算書（上限2000万）'!$I$16,0,1)))</f>
        <v>0</v>
      </c>
      <c r="I84" s="209">
        <f>IF(H84=1,HLOOKUP(C84,'計算書（第3回）'!$C$123:$U$124,2,TRUE),0)</f>
        <v>0</v>
      </c>
      <c r="J84" s="209">
        <f>IF('信用保険料計算書（上限2000万）'!$K$15="",0,IF($B84&lt;'信用保険料計算書（上限2000万）'!$K$15,0,IF($B84&gt;'信用保険料計算書（上限2000万）'!$K$16,0,1)))</f>
        <v>0</v>
      </c>
      <c r="K84" s="209">
        <f>IF(J84=1,HLOOKUP(C84,'計算書（第4回）'!$C$123:$U$124,2,TRUE),0)</f>
        <v>0</v>
      </c>
      <c r="L84" s="209">
        <f>IF('信用保険料計算書（上限2000万）'!$M$15="",0,IF($B84&lt;'信用保険料計算書（上限2000万）'!$M$15,0,IF($B84&gt;'信用保険料計算書（上限2000万）'!$M$16,0,1)))</f>
        <v>0</v>
      </c>
      <c r="M84" s="209">
        <f>IF(L84=1,HLOOKUP(C84,'計算書（第5回）'!$C$123:$U$124,2,TRUE),0)</f>
        <v>0</v>
      </c>
      <c r="N84" s="209">
        <f>IF('信用保険料計算書（上限2000万）'!$O$15="",0,IF($B84&lt;'信用保険料計算書（上限2000万）'!$O$15,0,IF($B84&gt;'信用保険料計算書（上限2000万）'!$O$16,0,1)))</f>
        <v>0</v>
      </c>
      <c r="O84" s="209">
        <f>IF(N84=1,HLOOKUP(C84,'計算書（第6回）'!$C$123:$U$124,2,TRUE),0)</f>
        <v>0</v>
      </c>
      <c r="P84" s="209">
        <f>IF('信用保険料計算書（上限2000万）'!$Q$15="",0,IF($B84&lt;'信用保険料計算書（上限2000万）'!$Q$15,0,IF($B84&gt;'信用保険料計算書（上限2000万）'!$Q$16,0,1)))</f>
        <v>0</v>
      </c>
      <c r="Q84" s="209">
        <f>IF(P84=1,HLOOKUP(C84,'計算書（第7回）'!$C$123:$U$124,2,TRUE),0)</f>
        <v>0</v>
      </c>
      <c r="R84" s="212"/>
      <c r="S84" s="211">
        <f>COUNTIF($AB$13:$AB$19,"&lt;=2018/1/1")</f>
        <v>0</v>
      </c>
      <c r="T84" s="178" t="e">
        <f t="shared" si="11"/>
        <v>#NUM!</v>
      </c>
      <c r="U84" s="181">
        <f t="shared" si="7"/>
        <v>0</v>
      </c>
      <c r="V84" s="182">
        <f t="shared" si="8"/>
        <v>0</v>
      </c>
      <c r="W84" s="245">
        <f t="shared" si="9"/>
        <v>0</v>
      </c>
      <c r="X84" s="182"/>
    </row>
    <row r="85" spans="2:26">
      <c r="B85" s="214">
        <f t="shared" si="10"/>
        <v>43132</v>
      </c>
      <c r="C85" s="198">
        <f t="shared" si="6"/>
        <v>43101</v>
      </c>
      <c r="D85" s="209">
        <f>IF(B85&lt;'信用保険料計算書（上限2000万）'!$E$15,0,IF(B85&gt;'信用保険料計算書（上限2000万）'!$E$16,0,1))</f>
        <v>0</v>
      </c>
      <c r="E85" s="209">
        <f>IF(D85=1,HLOOKUP(C85,'計算書（第1回）'!$C$123:$U$124,2,TRUE),0)</f>
        <v>0</v>
      </c>
      <c r="F85" s="209">
        <f>IF('信用保険料計算書（上限2000万）'!$G$15="",0,IF($B85&lt;'信用保険料計算書（上限2000万）'!$G$15,0,IF($B85&gt;'信用保険料計算書（上限2000万）'!$G$16,0,1)))</f>
        <v>0</v>
      </c>
      <c r="G85" s="209">
        <f>IF(F85=1,HLOOKUP(C85,'計算書（第2回）'!$C$123:$U$124,2,TRUE),0)</f>
        <v>0</v>
      </c>
      <c r="H85" s="209">
        <f>IF('信用保険料計算書（上限2000万）'!$I$15="",0,IF($B85&lt;'信用保険料計算書（上限2000万）'!$I$15,0,IF($B85&gt;'信用保険料計算書（上限2000万）'!$I$16,0,1)))</f>
        <v>0</v>
      </c>
      <c r="I85" s="209">
        <f>IF(H85=1,HLOOKUP(C85,'計算書（第3回）'!$C$123:$U$124,2,TRUE),0)</f>
        <v>0</v>
      </c>
      <c r="J85" s="209">
        <f>IF('信用保険料計算書（上限2000万）'!$K$15="",0,IF($B85&lt;'信用保険料計算書（上限2000万）'!$K$15,0,IF($B85&gt;'信用保険料計算書（上限2000万）'!$K$16,0,1)))</f>
        <v>0</v>
      </c>
      <c r="K85" s="209">
        <f>IF(J85=1,HLOOKUP(C85,'計算書（第4回）'!$C$123:$U$124,2,TRUE),0)</f>
        <v>0</v>
      </c>
      <c r="L85" s="209">
        <f>IF('信用保険料計算書（上限2000万）'!$M$15="",0,IF($B85&lt;'信用保険料計算書（上限2000万）'!$M$15,0,IF($B85&gt;'信用保険料計算書（上限2000万）'!$M$16,0,1)))</f>
        <v>0</v>
      </c>
      <c r="M85" s="209">
        <f>IF(L85=1,HLOOKUP(C85,'計算書（第5回）'!$C$123:$U$124,2,TRUE),0)</f>
        <v>0</v>
      </c>
      <c r="N85" s="209">
        <f>IF('信用保険料計算書（上限2000万）'!$O$15="",0,IF($B85&lt;'信用保険料計算書（上限2000万）'!$O$15,0,IF($B85&gt;'信用保険料計算書（上限2000万）'!$O$16,0,1)))</f>
        <v>0</v>
      </c>
      <c r="O85" s="209">
        <f>IF(N85=1,HLOOKUP(C85,'計算書（第6回）'!$C$123:$U$124,2,TRUE),0)</f>
        <v>0</v>
      </c>
      <c r="P85" s="209">
        <f>IF('信用保険料計算書（上限2000万）'!$Q$15="",0,IF($B85&lt;'信用保険料計算書（上限2000万）'!$Q$15,0,IF($B85&gt;'信用保険料計算書（上限2000万）'!$Q$16,0,1)))</f>
        <v>0</v>
      </c>
      <c r="Q85" s="209">
        <f>IF(P85=1,HLOOKUP(C85,'計算書（第7回）'!$C$123:$U$124,2,TRUE),0)</f>
        <v>0</v>
      </c>
      <c r="R85" s="212"/>
      <c r="S85" s="211">
        <f>COUNTIF($AB$13:$AB$19,"&lt;=2018/2/1")</f>
        <v>0</v>
      </c>
      <c r="T85" s="178" t="e">
        <f t="shared" si="11"/>
        <v>#NUM!</v>
      </c>
      <c r="U85" s="181">
        <f t="shared" si="7"/>
        <v>0</v>
      </c>
      <c r="V85" s="182">
        <f t="shared" si="8"/>
        <v>0</v>
      </c>
      <c r="W85" s="245">
        <f t="shared" si="9"/>
        <v>0</v>
      </c>
      <c r="X85" s="182"/>
    </row>
    <row r="86" spans="2:26">
      <c r="B86" s="214">
        <f t="shared" si="10"/>
        <v>43160</v>
      </c>
      <c r="C86" s="198">
        <f t="shared" si="6"/>
        <v>43132</v>
      </c>
      <c r="D86" s="209">
        <f>IF(B86&lt;'信用保険料計算書（上限2000万）'!$E$15,0,IF(B86&gt;'信用保険料計算書（上限2000万）'!$E$16,0,1))</f>
        <v>0</v>
      </c>
      <c r="E86" s="209">
        <f>IF(D86=1,HLOOKUP(C86,'計算書（第1回）'!$C$123:$U$124,2,TRUE),0)</f>
        <v>0</v>
      </c>
      <c r="F86" s="209">
        <f>IF('信用保険料計算書（上限2000万）'!$G$15="",0,IF($B86&lt;'信用保険料計算書（上限2000万）'!$G$15,0,IF($B86&gt;'信用保険料計算書（上限2000万）'!$G$16,0,1)))</f>
        <v>0</v>
      </c>
      <c r="G86" s="209">
        <f>IF(F86=1,HLOOKUP(C86,'計算書（第2回）'!$C$123:$U$124,2,TRUE),0)</f>
        <v>0</v>
      </c>
      <c r="H86" s="209">
        <f>IF('信用保険料計算書（上限2000万）'!$I$15="",0,IF($B86&lt;'信用保険料計算書（上限2000万）'!$I$15,0,IF($B86&gt;'信用保険料計算書（上限2000万）'!$I$16,0,1)))</f>
        <v>0</v>
      </c>
      <c r="I86" s="209">
        <f>IF(H86=1,HLOOKUP(C86,'計算書（第3回）'!$C$123:$U$124,2,TRUE),0)</f>
        <v>0</v>
      </c>
      <c r="J86" s="209">
        <f>IF('信用保険料計算書（上限2000万）'!$K$15="",0,IF($B86&lt;'信用保険料計算書（上限2000万）'!$K$15,0,IF($B86&gt;'信用保険料計算書（上限2000万）'!$K$16,0,1)))</f>
        <v>0</v>
      </c>
      <c r="K86" s="209">
        <f>IF(J86=1,HLOOKUP(C86,'計算書（第4回）'!$C$123:$U$124,2,TRUE),0)</f>
        <v>0</v>
      </c>
      <c r="L86" s="209">
        <f>IF('信用保険料計算書（上限2000万）'!$M$15="",0,IF($B86&lt;'信用保険料計算書（上限2000万）'!$M$15,0,IF($B86&gt;'信用保険料計算書（上限2000万）'!$M$16,0,1)))</f>
        <v>0</v>
      </c>
      <c r="M86" s="209">
        <f>IF(L86=1,HLOOKUP(C86,'計算書（第5回）'!$C$123:$U$124,2,TRUE),0)</f>
        <v>0</v>
      </c>
      <c r="N86" s="209">
        <f>IF('信用保険料計算書（上限2000万）'!$O$15="",0,IF($B86&lt;'信用保険料計算書（上限2000万）'!$O$15,0,IF($B86&gt;'信用保険料計算書（上限2000万）'!$O$16,0,1)))</f>
        <v>0</v>
      </c>
      <c r="O86" s="209">
        <f>IF(N86=1,HLOOKUP(C86,'計算書（第6回）'!$C$123:$U$124,2,TRUE),0)</f>
        <v>0</v>
      </c>
      <c r="P86" s="209">
        <f>IF('信用保険料計算書（上限2000万）'!$Q$15="",0,IF($B86&lt;'信用保険料計算書（上限2000万）'!$Q$15,0,IF($B86&gt;'信用保険料計算書（上限2000万）'!$Q$16,0,1)))</f>
        <v>0</v>
      </c>
      <c r="Q86" s="209">
        <f>IF(P86=1,HLOOKUP(C86,'計算書（第7回）'!$C$123:$U$124,2,TRUE),0)</f>
        <v>0</v>
      </c>
      <c r="R86" s="212"/>
      <c r="S86" s="211">
        <f>COUNTIF($AB$13:$AB$19,"&lt;=2018/3/1")</f>
        <v>0</v>
      </c>
      <c r="T86" s="178" t="e">
        <f t="shared" si="11"/>
        <v>#NUM!</v>
      </c>
      <c r="U86" s="181">
        <f t="shared" si="7"/>
        <v>0</v>
      </c>
      <c r="V86" s="182">
        <f t="shared" si="8"/>
        <v>0</v>
      </c>
      <c r="W86" s="245">
        <f t="shared" si="9"/>
        <v>0</v>
      </c>
      <c r="X86" s="183">
        <f>INT(SUM(W81:W86))</f>
        <v>0</v>
      </c>
    </row>
    <row r="87" spans="2:26">
      <c r="B87" s="214">
        <f t="shared" si="10"/>
        <v>43191</v>
      </c>
      <c r="C87" s="198">
        <f t="shared" si="6"/>
        <v>43160</v>
      </c>
      <c r="D87" s="209">
        <f>IF(B87&lt;'信用保険料計算書（上限2000万）'!$E$15,0,IF(B87&gt;'信用保険料計算書（上限2000万）'!$E$16,0,1))</f>
        <v>0</v>
      </c>
      <c r="E87" s="209">
        <f>IF(D87=1,HLOOKUP(C87,'計算書（第1回）'!$C$123:$U$124,2,TRUE),0)</f>
        <v>0</v>
      </c>
      <c r="F87" s="209">
        <f>IF('信用保険料計算書（上限2000万）'!$G$15="",0,IF($B87&lt;'信用保険料計算書（上限2000万）'!$G$15,0,IF($B87&gt;'信用保険料計算書（上限2000万）'!$G$16,0,1)))</f>
        <v>0</v>
      </c>
      <c r="G87" s="209">
        <f>IF(F87=1,HLOOKUP(C87,'計算書（第2回）'!$C$123:$U$124,2,TRUE),0)</f>
        <v>0</v>
      </c>
      <c r="H87" s="209">
        <f>IF('信用保険料計算書（上限2000万）'!$I$15="",0,IF($B87&lt;'信用保険料計算書（上限2000万）'!$I$15,0,IF($B87&gt;'信用保険料計算書（上限2000万）'!$I$16,0,1)))</f>
        <v>0</v>
      </c>
      <c r="I87" s="209">
        <f>IF(H87=1,HLOOKUP(C87,'計算書（第3回）'!$C$123:$U$124,2,TRUE),0)</f>
        <v>0</v>
      </c>
      <c r="J87" s="209">
        <f>IF('信用保険料計算書（上限2000万）'!$K$15="",0,IF($B87&lt;'信用保険料計算書（上限2000万）'!$K$15,0,IF($B87&gt;'信用保険料計算書（上限2000万）'!$K$16,0,1)))</f>
        <v>0</v>
      </c>
      <c r="K87" s="209">
        <f>IF(J87=1,HLOOKUP(C87,'計算書（第4回）'!$C$123:$U$124,2,TRUE),0)</f>
        <v>0</v>
      </c>
      <c r="L87" s="209">
        <f>IF('信用保険料計算書（上限2000万）'!$M$15="",0,IF($B87&lt;'信用保険料計算書（上限2000万）'!$M$15,0,IF($B87&gt;'信用保険料計算書（上限2000万）'!$M$16,0,1)))</f>
        <v>0</v>
      </c>
      <c r="M87" s="209">
        <f>IF(L87=1,HLOOKUP(C87,'計算書（第5回）'!$C$123:$U$124,2,TRUE),0)</f>
        <v>0</v>
      </c>
      <c r="N87" s="209">
        <f>IF('信用保険料計算書（上限2000万）'!$O$15="",0,IF($B87&lt;'信用保険料計算書（上限2000万）'!$O$15,0,IF($B87&gt;'信用保険料計算書（上限2000万）'!$O$16,0,1)))</f>
        <v>0</v>
      </c>
      <c r="O87" s="209">
        <f>IF(N87=1,HLOOKUP(C87,'計算書（第6回）'!$C$123:$U$124,2,TRUE),0)</f>
        <v>0</v>
      </c>
      <c r="P87" s="209">
        <f>IF('信用保険料計算書（上限2000万）'!$Q$15="",0,IF($B87&lt;'信用保険料計算書（上限2000万）'!$Q$15,0,IF($B87&gt;'信用保険料計算書（上限2000万）'!$Q$16,0,1)))</f>
        <v>0</v>
      </c>
      <c r="Q87" s="209">
        <f>IF(P87=1,HLOOKUP(C87,'計算書（第7回）'!$C$123:$U$124,2,TRUE),0)</f>
        <v>0</v>
      </c>
      <c r="R87" s="212"/>
      <c r="S87" s="211">
        <f>COUNTIF($AB$13:$AB$19,"&lt;=2018/4/1")</f>
        <v>0</v>
      </c>
      <c r="T87" s="178" t="e">
        <f t="shared" si="11"/>
        <v>#NUM!</v>
      </c>
      <c r="U87" s="181">
        <f t="shared" si="7"/>
        <v>0</v>
      </c>
      <c r="V87" s="182">
        <f t="shared" si="8"/>
        <v>0</v>
      </c>
      <c r="W87" s="245">
        <f t="shared" si="9"/>
        <v>0</v>
      </c>
      <c r="X87" s="182"/>
      <c r="Z87" s="200" t="s">
        <v>162</v>
      </c>
    </row>
    <row r="88" spans="2:26">
      <c r="B88" s="214">
        <f t="shared" si="10"/>
        <v>43221</v>
      </c>
      <c r="C88" s="198">
        <f t="shared" si="6"/>
        <v>43191</v>
      </c>
      <c r="D88" s="209">
        <f>IF(B88&lt;'信用保険料計算書（上限2000万）'!$E$15,0,IF(B88&gt;'信用保険料計算書（上限2000万）'!$E$16,0,1))</f>
        <v>0</v>
      </c>
      <c r="E88" s="209">
        <f>IF(D88=1,HLOOKUP(C88,'計算書（第1回）'!$C$123:$U$124,2,TRUE),0)</f>
        <v>0</v>
      </c>
      <c r="F88" s="209">
        <f>IF('信用保険料計算書（上限2000万）'!$G$15="",0,IF($B88&lt;'信用保険料計算書（上限2000万）'!$G$15,0,IF($B88&gt;'信用保険料計算書（上限2000万）'!$G$16,0,1)))</f>
        <v>0</v>
      </c>
      <c r="G88" s="209">
        <f>IF(F88=1,HLOOKUP(C88,'計算書（第2回）'!$C$123:$U$124,2,TRUE),0)</f>
        <v>0</v>
      </c>
      <c r="H88" s="209">
        <f>IF('信用保険料計算書（上限2000万）'!$I$15="",0,IF($B88&lt;'信用保険料計算書（上限2000万）'!$I$15,0,IF($B88&gt;'信用保険料計算書（上限2000万）'!$I$16,0,1)))</f>
        <v>0</v>
      </c>
      <c r="I88" s="209">
        <f>IF(H88=1,HLOOKUP(C88,'計算書（第3回）'!$C$123:$U$124,2,TRUE),0)</f>
        <v>0</v>
      </c>
      <c r="J88" s="209">
        <f>IF('信用保険料計算書（上限2000万）'!$K$15="",0,IF($B88&lt;'信用保険料計算書（上限2000万）'!$K$15,0,IF($B88&gt;'信用保険料計算書（上限2000万）'!$K$16,0,1)))</f>
        <v>0</v>
      </c>
      <c r="K88" s="209">
        <f>IF(J88=1,HLOOKUP(C88,'計算書（第4回）'!$C$123:$U$124,2,TRUE),0)</f>
        <v>0</v>
      </c>
      <c r="L88" s="209">
        <f>IF('信用保険料計算書（上限2000万）'!$M$15="",0,IF($B88&lt;'信用保険料計算書（上限2000万）'!$M$15,0,IF($B88&gt;'信用保険料計算書（上限2000万）'!$M$16,0,1)))</f>
        <v>0</v>
      </c>
      <c r="M88" s="209">
        <f>IF(L88=1,HLOOKUP(C88,'計算書（第5回）'!$C$123:$U$124,2,TRUE),0)</f>
        <v>0</v>
      </c>
      <c r="N88" s="209">
        <f>IF('信用保険料計算書（上限2000万）'!$O$15="",0,IF($B88&lt;'信用保険料計算書（上限2000万）'!$O$15,0,IF($B88&gt;'信用保険料計算書（上限2000万）'!$O$16,0,1)))</f>
        <v>0</v>
      </c>
      <c r="O88" s="209">
        <f>IF(N88=1,HLOOKUP(C88,'計算書（第6回）'!$C$123:$U$124,2,TRUE),0)</f>
        <v>0</v>
      </c>
      <c r="P88" s="209">
        <f>IF('信用保険料計算書（上限2000万）'!$Q$15="",0,IF($B88&lt;'信用保険料計算書（上限2000万）'!$Q$15,0,IF($B88&gt;'信用保険料計算書（上限2000万）'!$Q$16,0,1)))</f>
        <v>0</v>
      </c>
      <c r="Q88" s="209">
        <f>IF(P88=1,HLOOKUP(C88,'計算書（第7回）'!$C$123:$U$124,2,TRUE),0)</f>
        <v>0</v>
      </c>
      <c r="R88" s="212"/>
      <c r="S88" s="211">
        <f>COUNTIF($AB$13:$AB$19,"&lt;=2018/5/1")</f>
        <v>0</v>
      </c>
      <c r="T88" s="178" t="e">
        <f t="shared" si="11"/>
        <v>#NUM!</v>
      </c>
      <c r="U88" s="181">
        <f t="shared" si="7"/>
        <v>0</v>
      </c>
      <c r="V88" s="182">
        <f t="shared" si="8"/>
        <v>0</v>
      </c>
      <c r="W88" s="245">
        <f t="shared" si="9"/>
        <v>0</v>
      </c>
      <c r="X88" s="182"/>
    </row>
    <row r="89" spans="2:26">
      <c r="B89" s="214">
        <f t="shared" si="10"/>
        <v>43252</v>
      </c>
      <c r="C89" s="198">
        <f t="shared" si="6"/>
        <v>43221</v>
      </c>
      <c r="D89" s="209">
        <f>IF(B89&lt;'信用保険料計算書（上限2000万）'!$E$15,0,IF(B89&gt;'信用保険料計算書（上限2000万）'!$E$16,0,1))</f>
        <v>0</v>
      </c>
      <c r="E89" s="209">
        <f>IF(D89=1,HLOOKUP(C89,'計算書（第1回）'!$C$123:$U$124,2,TRUE),0)</f>
        <v>0</v>
      </c>
      <c r="F89" s="209">
        <f>IF('信用保険料計算書（上限2000万）'!$G$15="",0,IF($B89&lt;'信用保険料計算書（上限2000万）'!$G$15,0,IF($B89&gt;'信用保険料計算書（上限2000万）'!$G$16,0,1)))</f>
        <v>0</v>
      </c>
      <c r="G89" s="209">
        <f>IF(F89=1,HLOOKUP(C89,'計算書（第2回）'!$C$123:$U$124,2,TRUE),0)</f>
        <v>0</v>
      </c>
      <c r="H89" s="209">
        <f>IF('信用保険料計算書（上限2000万）'!$I$15="",0,IF($B89&lt;'信用保険料計算書（上限2000万）'!$I$15,0,IF($B89&gt;'信用保険料計算書（上限2000万）'!$I$16,0,1)))</f>
        <v>0</v>
      </c>
      <c r="I89" s="209">
        <f>IF(H89=1,HLOOKUP(C89,'計算書（第3回）'!$C$123:$U$124,2,TRUE),0)</f>
        <v>0</v>
      </c>
      <c r="J89" s="209">
        <f>IF('信用保険料計算書（上限2000万）'!$K$15="",0,IF($B89&lt;'信用保険料計算書（上限2000万）'!$K$15,0,IF($B89&gt;'信用保険料計算書（上限2000万）'!$K$16,0,1)))</f>
        <v>0</v>
      </c>
      <c r="K89" s="209">
        <f>IF(J89=1,HLOOKUP(C89,'計算書（第4回）'!$C$123:$U$124,2,TRUE),0)</f>
        <v>0</v>
      </c>
      <c r="L89" s="209">
        <f>IF('信用保険料計算書（上限2000万）'!$M$15="",0,IF($B89&lt;'信用保険料計算書（上限2000万）'!$M$15,0,IF($B89&gt;'信用保険料計算書（上限2000万）'!$M$16,0,1)))</f>
        <v>0</v>
      </c>
      <c r="M89" s="209">
        <f>IF(L89=1,HLOOKUP(C89,'計算書（第5回）'!$C$123:$U$124,2,TRUE),0)</f>
        <v>0</v>
      </c>
      <c r="N89" s="209">
        <f>IF('信用保険料計算書（上限2000万）'!$O$15="",0,IF($B89&lt;'信用保険料計算書（上限2000万）'!$O$15,0,IF($B89&gt;'信用保険料計算書（上限2000万）'!$O$16,0,1)))</f>
        <v>0</v>
      </c>
      <c r="O89" s="209">
        <f>IF(N89=1,HLOOKUP(C89,'計算書（第6回）'!$C$123:$U$124,2,TRUE),0)</f>
        <v>0</v>
      </c>
      <c r="P89" s="209">
        <f>IF('信用保険料計算書（上限2000万）'!$Q$15="",0,IF($B89&lt;'信用保険料計算書（上限2000万）'!$Q$15,0,IF($B89&gt;'信用保険料計算書（上限2000万）'!$Q$16,0,1)))</f>
        <v>0</v>
      </c>
      <c r="Q89" s="209">
        <f>IF(P89=1,HLOOKUP(C89,'計算書（第7回）'!$C$123:$U$124,2,TRUE),0)</f>
        <v>0</v>
      </c>
      <c r="R89" s="212"/>
      <c r="S89" s="211">
        <f>COUNTIF($AB$13:$AB$19,"&lt;=2018/6/1")</f>
        <v>0</v>
      </c>
      <c r="T89" s="197" t="e">
        <f t="shared" si="11"/>
        <v>#NUM!</v>
      </c>
      <c r="U89" s="181">
        <f t="shared" si="7"/>
        <v>0</v>
      </c>
      <c r="V89" s="182">
        <f t="shared" si="8"/>
        <v>0</v>
      </c>
      <c r="W89" s="245">
        <f t="shared" si="9"/>
        <v>0</v>
      </c>
      <c r="X89" s="182"/>
    </row>
    <row r="90" spans="2:26">
      <c r="B90" s="214">
        <f t="shared" si="10"/>
        <v>43282</v>
      </c>
      <c r="C90" s="198">
        <f t="shared" si="6"/>
        <v>43252</v>
      </c>
      <c r="D90" s="209">
        <f>IF(B90&lt;'信用保険料計算書（上限2000万）'!$E$15,0,IF(B90&gt;'信用保険料計算書（上限2000万）'!$E$16,0,1))</f>
        <v>0</v>
      </c>
      <c r="E90" s="209">
        <f>IF(D90=1,HLOOKUP(C90,'計算書（第1回）'!$C$123:$U$124,2,TRUE),0)</f>
        <v>0</v>
      </c>
      <c r="F90" s="209">
        <f>IF('信用保険料計算書（上限2000万）'!$G$15="",0,IF($B90&lt;'信用保険料計算書（上限2000万）'!$G$15,0,IF($B90&gt;'信用保険料計算書（上限2000万）'!$G$16,0,1)))</f>
        <v>0</v>
      </c>
      <c r="G90" s="209">
        <f>IF(F90=1,HLOOKUP(C90,'計算書（第2回）'!$C$123:$U$124,2,TRUE),0)</f>
        <v>0</v>
      </c>
      <c r="H90" s="209">
        <f>IF('信用保険料計算書（上限2000万）'!$I$15="",0,IF($B90&lt;'信用保険料計算書（上限2000万）'!$I$15,0,IF($B90&gt;'信用保険料計算書（上限2000万）'!$I$16,0,1)))</f>
        <v>0</v>
      </c>
      <c r="I90" s="209">
        <f>IF(H90=1,HLOOKUP(C90,'計算書（第3回）'!$C$123:$U$124,2,TRUE),0)</f>
        <v>0</v>
      </c>
      <c r="J90" s="209">
        <f>IF('信用保険料計算書（上限2000万）'!$K$15="",0,IF($B90&lt;'信用保険料計算書（上限2000万）'!$K$15,0,IF($B90&gt;'信用保険料計算書（上限2000万）'!$K$16,0,1)))</f>
        <v>0</v>
      </c>
      <c r="K90" s="209">
        <f>IF(J90=1,HLOOKUP(C90,'計算書（第4回）'!$C$123:$U$124,2,TRUE),0)</f>
        <v>0</v>
      </c>
      <c r="L90" s="209">
        <f>IF('信用保険料計算書（上限2000万）'!$M$15="",0,IF($B90&lt;'信用保険料計算書（上限2000万）'!$M$15,0,IF($B90&gt;'信用保険料計算書（上限2000万）'!$M$16,0,1)))</f>
        <v>0</v>
      </c>
      <c r="M90" s="209">
        <f>IF(L90=1,HLOOKUP(C90,'計算書（第5回）'!$C$123:$U$124,2,TRUE),0)</f>
        <v>0</v>
      </c>
      <c r="N90" s="209">
        <f>IF('信用保険料計算書（上限2000万）'!$O$15="",0,IF($B90&lt;'信用保険料計算書（上限2000万）'!$O$15,0,IF($B90&gt;'信用保険料計算書（上限2000万）'!$O$16,0,1)))</f>
        <v>0</v>
      </c>
      <c r="O90" s="209">
        <f>IF(N90=1,HLOOKUP(C90,'計算書（第6回）'!$C$123:$U$124,2,TRUE),0)</f>
        <v>0</v>
      </c>
      <c r="P90" s="209">
        <f>IF('信用保険料計算書（上限2000万）'!$Q$15="",0,IF($B90&lt;'信用保険料計算書（上限2000万）'!$Q$15,0,IF($B90&gt;'信用保険料計算書（上限2000万）'!$Q$16,0,1)))</f>
        <v>0</v>
      </c>
      <c r="Q90" s="209">
        <f>IF(P90=1,HLOOKUP(C90,'計算書（第7回）'!$C$123:$U$124,2,TRUE),0)</f>
        <v>0</v>
      </c>
      <c r="R90" s="212"/>
      <c r="S90" s="211">
        <f>COUNTIF($AB$13:$AB$19,"&lt;=2018/7/1")</f>
        <v>0</v>
      </c>
      <c r="T90" s="178" t="e">
        <f t="shared" si="11"/>
        <v>#NUM!</v>
      </c>
      <c r="U90" s="181">
        <f t="shared" si="7"/>
        <v>0</v>
      </c>
      <c r="V90" s="182">
        <f t="shared" si="8"/>
        <v>0</v>
      </c>
      <c r="W90" s="245">
        <f t="shared" si="9"/>
        <v>0</v>
      </c>
      <c r="X90" s="182"/>
    </row>
    <row r="91" spans="2:26">
      <c r="B91" s="214">
        <f t="shared" si="10"/>
        <v>43313</v>
      </c>
      <c r="C91" s="198">
        <f t="shared" si="6"/>
        <v>43282</v>
      </c>
      <c r="D91" s="209">
        <f>IF(B91&lt;'信用保険料計算書（上限2000万）'!$E$15,0,IF(B91&gt;'信用保険料計算書（上限2000万）'!$E$16,0,1))</f>
        <v>0</v>
      </c>
      <c r="E91" s="209">
        <f>IF(D91=1,HLOOKUP(C91,'計算書（第1回）'!$C$123:$U$124,2,TRUE),0)</f>
        <v>0</v>
      </c>
      <c r="F91" s="209">
        <f>IF('信用保険料計算書（上限2000万）'!$G$15="",0,IF($B91&lt;'信用保険料計算書（上限2000万）'!$G$15,0,IF($B91&gt;'信用保険料計算書（上限2000万）'!$G$16,0,1)))</f>
        <v>0</v>
      </c>
      <c r="G91" s="209">
        <f>IF(F91=1,HLOOKUP(C91,'計算書（第2回）'!$C$123:$U$124,2,TRUE),0)</f>
        <v>0</v>
      </c>
      <c r="H91" s="209">
        <f>IF('信用保険料計算書（上限2000万）'!$I$15="",0,IF($B91&lt;'信用保険料計算書（上限2000万）'!$I$15,0,IF($B91&gt;'信用保険料計算書（上限2000万）'!$I$16,0,1)))</f>
        <v>0</v>
      </c>
      <c r="I91" s="209">
        <f>IF(H91=1,HLOOKUP(C91,'計算書（第3回）'!$C$123:$U$124,2,TRUE),0)</f>
        <v>0</v>
      </c>
      <c r="J91" s="209">
        <f>IF('信用保険料計算書（上限2000万）'!$K$15="",0,IF($B91&lt;'信用保険料計算書（上限2000万）'!$K$15,0,IF($B91&gt;'信用保険料計算書（上限2000万）'!$K$16,0,1)))</f>
        <v>0</v>
      </c>
      <c r="K91" s="209">
        <f>IF(J91=1,HLOOKUP(C91,'計算書（第4回）'!$C$123:$U$124,2,TRUE),0)</f>
        <v>0</v>
      </c>
      <c r="L91" s="209">
        <f>IF('信用保険料計算書（上限2000万）'!$M$15="",0,IF($B91&lt;'信用保険料計算書（上限2000万）'!$M$15,0,IF($B91&gt;'信用保険料計算書（上限2000万）'!$M$16,0,1)))</f>
        <v>0</v>
      </c>
      <c r="M91" s="209">
        <f>IF(L91=1,HLOOKUP(C91,'計算書（第5回）'!$C$123:$U$124,2,TRUE),0)</f>
        <v>0</v>
      </c>
      <c r="N91" s="209">
        <f>IF('信用保険料計算書（上限2000万）'!$O$15="",0,IF($B91&lt;'信用保険料計算書（上限2000万）'!$O$15,0,IF($B91&gt;'信用保険料計算書（上限2000万）'!$O$16,0,1)))</f>
        <v>0</v>
      </c>
      <c r="O91" s="209">
        <f>IF(N91=1,HLOOKUP(C91,'計算書（第6回）'!$C$123:$U$124,2,TRUE),0)</f>
        <v>0</v>
      </c>
      <c r="P91" s="209">
        <f>IF('信用保険料計算書（上限2000万）'!$Q$15="",0,IF($B91&lt;'信用保険料計算書（上限2000万）'!$Q$15,0,IF($B91&gt;'信用保険料計算書（上限2000万）'!$Q$16,0,1)))</f>
        <v>0</v>
      </c>
      <c r="Q91" s="209">
        <f>IF(P91=1,HLOOKUP(C91,'計算書（第7回）'!$C$123:$U$124,2,TRUE),0)</f>
        <v>0</v>
      </c>
      <c r="R91" s="212"/>
      <c r="S91" s="211">
        <f>COUNTIF($AB$13:$AB$19,"&lt;=2018/8/1")</f>
        <v>0</v>
      </c>
      <c r="T91" s="178" t="e">
        <f t="shared" si="11"/>
        <v>#NUM!</v>
      </c>
      <c r="U91" s="181">
        <f t="shared" si="7"/>
        <v>0</v>
      </c>
      <c r="V91" s="182">
        <f t="shared" si="8"/>
        <v>0</v>
      </c>
      <c r="W91" s="245">
        <f t="shared" si="9"/>
        <v>0</v>
      </c>
      <c r="X91" s="182"/>
    </row>
    <row r="92" spans="2:26">
      <c r="B92" s="214">
        <f t="shared" si="10"/>
        <v>43344</v>
      </c>
      <c r="C92" s="198">
        <f t="shared" si="6"/>
        <v>43313</v>
      </c>
      <c r="D92" s="209">
        <f>IF(B92&lt;'信用保険料計算書（上限2000万）'!$E$15,0,IF(B92&gt;'信用保険料計算書（上限2000万）'!$E$16,0,1))</f>
        <v>0</v>
      </c>
      <c r="E92" s="209">
        <f>IF(D92=1,HLOOKUP(C92,'計算書（第1回）'!$C$123:$U$124,2,TRUE),0)</f>
        <v>0</v>
      </c>
      <c r="F92" s="209">
        <f>IF('信用保険料計算書（上限2000万）'!$G$15="",0,IF($B92&lt;'信用保険料計算書（上限2000万）'!$G$15,0,IF($B92&gt;'信用保険料計算書（上限2000万）'!$G$16,0,1)))</f>
        <v>0</v>
      </c>
      <c r="G92" s="209">
        <f>IF(F92=1,HLOOKUP(C92,'計算書（第2回）'!$C$123:$U$124,2,TRUE),0)</f>
        <v>0</v>
      </c>
      <c r="H92" s="209">
        <f>IF('信用保険料計算書（上限2000万）'!$I$15="",0,IF($B92&lt;'信用保険料計算書（上限2000万）'!$I$15,0,IF($B92&gt;'信用保険料計算書（上限2000万）'!$I$16,0,1)))</f>
        <v>0</v>
      </c>
      <c r="I92" s="209">
        <f>IF(H92=1,HLOOKUP(C92,'計算書（第3回）'!$C$123:$U$124,2,TRUE),0)</f>
        <v>0</v>
      </c>
      <c r="J92" s="209">
        <f>IF('信用保険料計算書（上限2000万）'!$K$15="",0,IF($B92&lt;'信用保険料計算書（上限2000万）'!$K$15,0,IF($B92&gt;'信用保険料計算書（上限2000万）'!$K$16,0,1)))</f>
        <v>0</v>
      </c>
      <c r="K92" s="209">
        <f>IF(J92=1,HLOOKUP(C92,'計算書（第4回）'!$C$123:$U$124,2,TRUE),0)</f>
        <v>0</v>
      </c>
      <c r="L92" s="209">
        <f>IF('信用保険料計算書（上限2000万）'!$M$15="",0,IF($B92&lt;'信用保険料計算書（上限2000万）'!$M$15,0,IF($B92&gt;'信用保険料計算書（上限2000万）'!$M$16,0,1)))</f>
        <v>0</v>
      </c>
      <c r="M92" s="209">
        <f>IF(L92=1,HLOOKUP(C92,'計算書（第5回）'!$C$123:$U$124,2,TRUE),0)</f>
        <v>0</v>
      </c>
      <c r="N92" s="209">
        <f>IF('信用保険料計算書（上限2000万）'!$O$15="",0,IF($B92&lt;'信用保険料計算書（上限2000万）'!$O$15,0,IF($B92&gt;'信用保険料計算書（上限2000万）'!$O$16,0,1)))</f>
        <v>0</v>
      </c>
      <c r="O92" s="209">
        <f>IF(N92=1,HLOOKUP(C92,'計算書（第6回）'!$C$123:$U$124,2,TRUE),0)</f>
        <v>0</v>
      </c>
      <c r="P92" s="209">
        <f>IF('信用保険料計算書（上限2000万）'!$Q$15="",0,IF($B92&lt;'信用保険料計算書（上限2000万）'!$Q$15,0,IF($B92&gt;'信用保険料計算書（上限2000万）'!$Q$16,0,1)))</f>
        <v>0</v>
      </c>
      <c r="Q92" s="209">
        <f>IF(P92=1,HLOOKUP(C92,'計算書（第7回）'!$C$123:$U$124,2,TRUE),0)</f>
        <v>0</v>
      </c>
      <c r="R92" s="212"/>
      <c r="S92" s="211">
        <f>COUNTIF($AB$13:$AB$19,"&lt;=2018/9/1")</f>
        <v>0</v>
      </c>
      <c r="T92" s="178" t="e">
        <f t="shared" si="11"/>
        <v>#NUM!</v>
      </c>
      <c r="U92" s="181">
        <f t="shared" si="7"/>
        <v>0</v>
      </c>
      <c r="V92" s="182">
        <f t="shared" si="8"/>
        <v>0</v>
      </c>
      <c r="W92" s="245">
        <f t="shared" si="9"/>
        <v>0</v>
      </c>
      <c r="X92" s="183">
        <f>INT(SUM(W87:W92))</f>
        <v>0</v>
      </c>
    </row>
    <row r="93" spans="2:26">
      <c r="B93" s="214">
        <f t="shared" si="10"/>
        <v>43374</v>
      </c>
      <c r="C93" s="198">
        <f t="shared" si="6"/>
        <v>43344</v>
      </c>
      <c r="D93" s="209">
        <f>IF(B93&lt;'信用保険料計算書（上限2000万）'!$E$15,0,IF(B93&gt;'信用保険料計算書（上限2000万）'!$E$16,0,1))</f>
        <v>0</v>
      </c>
      <c r="E93" s="209">
        <f>IF(D93=1,HLOOKUP(C93,'計算書（第1回）'!$C$123:$U$124,2,TRUE),0)</f>
        <v>0</v>
      </c>
      <c r="F93" s="209">
        <f>IF('信用保険料計算書（上限2000万）'!$G$15="",0,IF($B93&lt;'信用保険料計算書（上限2000万）'!$G$15,0,IF($B93&gt;'信用保険料計算書（上限2000万）'!$G$16,0,1)))</f>
        <v>0</v>
      </c>
      <c r="G93" s="209">
        <f>IF(F93=1,HLOOKUP(C93,'計算書（第2回）'!$C$123:$U$124,2,TRUE),0)</f>
        <v>0</v>
      </c>
      <c r="H93" s="209">
        <f>IF('信用保険料計算書（上限2000万）'!$I$15="",0,IF($B93&lt;'信用保険料計算書（上限2000万）'!$I$15,0,IF($B93&gt;'信用保険料計算書（上限2000万）'!$I$16,0,1)))</f>
        <v>0</v>
      </c>
      <c r="I93" s="209">
        <f>IF(H93=1,HLOOKUP(C93,'計算書（第3回）'!$C$123:$U$124,2,TRUE),0)</f>
        <v>0</v>
      </c>
      <c r="J93" s="209">
        <f>IF('信用保険料計算書（上限2000万）'!$K$15="",0,IF($B93&lt;'信用保険料計算書（上限2000万）'!$K$15,0,IF($B93&gt;'信用保険料計算書（上限2000万）'!$K$16,0,1)))</f>
        <v>0</v>
      </c>
      <c r="K93" s="209">
        <f>IF(J93=1,HLOOKUP(C93,'計算書（第4回）'!$C$123:$U$124,2,TRUE),0)</f>
        <v>0</v>
      </c>
      <c r="L93" s="209">
        <f>IF('信用保険料計算書（上限2000万）'!$M$15="",0,IF($B93&lt;'信用保険料計算書（上限2000万）'!$M$15,0,IF($B93&gt;'信用保険料計算書（上限2000万）'!$M$16,0,1)))</f>
        <v>0</v>
      </c>
      <c r="M93" s="209">
        <f>IF(L93=1,HLOOKUP(C93,'計算書（第5回）'!$C$123:$U$124,2,TRUE),0)</f>
        <v>0</v>
      </c>
      <c r="N93" s="209">
        <f>IF('信用保険料計算書（上限2000万）'!$O$15="",0,IF($B93&lt;'信用保険料計算書（上限2000万）'!$O$15,0,IF($B93&gt;'信用保険料計算書（上限2000万）'!$O$16,0,1)))</f>
        <v>0</v>
      </c>
      <c r="O93" s="209">
        <f>IF(N93=1,HLOOKUP(C93,'計算書（第6回）'!$C$123:$U$124,2,TRUE),0)</f>
        <v>0</v>
      </c>
      <c r="P93" s="209">
        <f>IF('信用保険料計算書（上限2000万）'!$Q$15="",0,IF($B93&lt;'信用保険料計算書（上限2000万）'!$Q$15,0,IF($B93&gt;'信用保険料計算書（上限2000万）'!$Q$16,0,1)))</f>
        <v>0</v>
      </c>
      <c r="Q93" s="209">
        <f>IF(P93=1,HLOOKUP(C93,'計算書（第7回）'!$C$123:$U$124,2,TRUE),0)</f>
        <v>0</v>
      </c>
      <c r="R93" s="212"/>
      <c r="S93" s="211">
        <f>COUNTIF($AB$13:$AB$19,"&lt;=2018/10/1")</f>
        <v>0</v>
      </c>
      <c r="T93" s="178" t="e">
        <f t="shared" si="11"/>
        <v>#NUM!</v>
      </c>
      <c r="U93" s="181">
        <f t="shared" si="7"/>
        <v>0</v>
      </c>
      <c r="V93" s="182">
        <f t="shared" si="8"/>
        <v>0</v>
      </c>
      <c r="W93" s="245">
        <f t="shared" si="9"/>
        <v>0</v>
      </c>
      <c r="X93" s="182"/>
    </row>
    <row r="94" spans="2:26">
      <c r="B94" s="214">
        <f t="shared" si="10"/>
        <v>43405</v>
      </c>
      <c r="C94" s="198">
        <f t="shared" si="6"/>
        <v>43374</v>
      </c>
      <c r="D94" s="209">
        <f>IF(B94&lt;'信用保険料計算書（上限2000万）'!$E$15,0,IF(B94&gt;'信用保険料計算書（上限2000万）'!$E$16,0,1))</f>
        <v>0</v>
      </c>
      <c r="E94" s="209">
        <f>IF(D94=1,HLOOKUP(C94,'計算書（第1回）'!$C$123:$U$124,2,TRUE),0)</f>
        <v>0</v>
      </c>
      <c r="F94" s="209">
        <f>IF('信用保険料計算書（上限2000万）'!$G$15="",0,IF($B94&lt;'信用保険料計算書（上限2000万）'!$G$15,0,IF($B94&gt;'信用保険料計算書（上限2000万）'!$G$16,0,1)))</f>
        <v>0</v>
      </c>
      <c r="G94" s="209">
        <f>IF(F94=1,HLOOKUP(C94,'計算書（第2回）'!$C$123:$U$124,2,TRUE),0)</f>
        <v>0</v>
      </c>
      <c r="H94" s="209">
        <f>IF('信用保険料計算書（上限2000万）'!$I$15="",0,IF($B94&lt;'信用保険料計算書（上限2000万）'!$I$15,0,IF($B94&gt;'信用保険料計算書（上限2000万）'!$I$16,0,1)))</f>
        <v>0</v>
      </c>
      <c r="I94" s="209">
        <f>IF(H94=1,HLOOKUP(C94,'計算書（第3回）'!$C$123:$U$124,2,TRUE),0)</f>
        <v>0</v>
      </c>
      <c r="J94" s="209">
        <f>IF('信用保険料計算書（上限2000万）'!$K$15="",0,IF($B94&lt;'信用保険料計算書（上限2000万）'!$K$15,0,IF($B94&gt;'信用保険料計算書（上限2000万）'!$K$16,0,1)))</f>
        <v>0</v>
      </c>
      <c r="K94" s="209">
        <f>IF(J94=1,HLOOKUP(C94,'計算書（第4回）'!$C$123:$U$124,2,TRUE),0)</f>
        <v>0</v>
      </c>
      <c r="L94" s="209">
        <f>IF('信用保険料計算書（上限2000万）'!$M$15="",0,IF($B94&lt;'信用保険料計算書（上限2000万）'!$M$15,0,IF($B94&gt;'信用保険料計算書（上限2000万）'!$M$16,0,1)))</f>
        <v>0</v>
      </c>
      <c r="M94" s="209">
        <f>IF(L94=1,HLOOKUP(C94,'計算書（第5回）'!$C$123:$U$124,2,TRUE),0)</f>
        <v>0</v>
      </c>
      <c r="N94" s="209">
        <f>IF('信用保険料計算書（上限2000万）'!$O$15="",0,IF($B94&lt;'信用保険料計算書（上限2000万）'!$O$15,0,IF($B94&gt;'信用保険料計算書（上限2000万）'!$O$16,0,1)))</f>
        <v>0</v>
      </c>
      <c r="O94" s="209">
        <f>IF(N94=1,HLOOKUP(C94,'計算書（第6回）'!$C$123:$U$124,2,TRUE),0)</f>
        <v>0</v>
      </c>
      <c r="P94" s="209">
        <f>IF('信用保険料計算書（上限2000万）'!$Q$15="",0,IF($B94&lt;'信用保険料計算書（上限2000万）'!$Q$15,0,IF($B94&gt;'信用保険料計算書（上限2000万）'!$Q$16,0,1)))</f>
        <v>0</v>
      </c>
      <c r="Q94" s="209">
        <f>IF(P94=1,HLOOKUP(C94,'計算書（第7回）'!$C$123:$U$124,2,TRUE),0)</f>
        <v>0</v>
      </c>
      <c r="R94" s="212"/>
      <c r="S94" s="211">
        <f>COUNTIF($AB$13:$AB$19,"&lt;=2018/11/1")</f>
        <v>0</v>
      </c>
      <c r="T94" s="178" t="e">
        <f t="shared" si="11"/>
        <v>#NUM!</v>
      </c>
      <c r="U94" s="181">
        <f t="shared" si="7"/>
        <v>0</v>
      </c>
      <c r="V94" s="182">
        <f t="shared" si="8"/>
        <v>0</v>
      </c>
      <c r="W94" s="245">
        <f t="shared" si="9"/>
        <v>0</v>
      </c>
      <c r="X94" s="182"/>
    </row>
    <row r="95" spans="2:26">
      <c r="B95" s="214">
        <f t="shared" si="10"/>
        <v>43435</v>
      </c>
      <c r="C95" s="198">
        <f t="shared" si="6"/>
        <v>43405</v>
      </c>
      <c r="D95" s="209">
        <f>IF(B95&lt;'信用保険料計算書（上限2000万）'!$E$15,0,IF(B95&gt;'信用保険料計算書（上限2000万）'!$E$16,0,1))</f>
        <v>0</v>
      </c>
      <c r="E95" s="209">
        <f>IF(D95=1,HLOOKUP(C95,'計算書（第1回）'!$C$123:$U$124,2,TRUE),0)</f>
        <v>0</v>
      </c>
      <c r="F95" s="209">
        <f>IF('信用保険料計算書（上限2000万）'!$G$15="",0,IF($B95&lt;'信用保険料計算書（上限2000万）'!$G$15,0,IF($B95&gt;'信用保険料計算書（上限2000万）'!$G$16,0,1)))</f>
        <v>0</v>
      </c>
      <c r="G95" s="209">
        <f>IF(F95=1,HLOOKUP(C95,'計算書（第2回）'!$C$123:$U$124,2,TRUE),0)</f>
        <v>0</v>
      </c>
      <c r="H95" s="209">
        <f>IF('信用保険料計算書（上限2000万）'!$I$15="",0,IF($B95&lt;'信用保険料計算書（上限2000万）'!$I$15,0,IF($B95&gt;'信用保険料計算書（上限2000万）'!$I$16,0,1)))</f>
        <v>0</v>
      </c>
      <c r="I95" s="209">
        <f>IF(H95=1,HLOOKUP(C95,'計算書（第3回）'!$C$123:$U$124,2,TRUE),0)</f>
        <v>0</v>
      </c>
      <c r="J95" s="209">
        <f>IF('信用保険料計算書（上限2000万）'!$K$15="",0,IF($B95&lt;'信用保険料計算書（上限2000万）'!$K$15,0,IF($B95&gt;'信用保険料計算書（上限2000万）'!$K$16,0,1)))</f>
        <v>0</v>
      </c>
      <c r="K95" s="209">
        <f>IF(J95=1,HLOOKUP(C95,'計算書（第4回）'!$C$123:$U$124,2,TRUE),0)</f>
        <v>0</v>
      </c>
      <c r="L95" s="209">
        <f>IF('信用保険料計算書（上限2000万）'!$M$15="",0,IF($B95&lt;'信用保険料計算書（上限2000万）'!$M$15,0,IF($B95&gt;'信用保険料計算書（上限2000万）'!$M$16,0,1)))</f>
        <v>0</v>
      </c>
      <c r="M95" s="209">
        <f>IF(L95=1,HLOOKUP(C95,'計算書（第5回）'!$C$123:$U$124,2,TRUE),0)</f>
        <v>0</v>
      </c>
      <c r="N95" s="209">
        <f>IF('信用保険料計算書（上限2000万）'!$O$15="",0,IF($B95&lt;'信用保険料計算書（上限2000万）'!$O$15,0,IF($B95&gt;'信用保険料計算書（上限2000万）'!$O$16,0,1)))</f>
        <v>0</v>
      </c>
      <c r="O95" s="209">
        <f>IF(N95=1,HLOOKUP(C95,'計算書（第6回）'!$C$123:$U$124,2,TRUE),0)</f>
        <v>0</v>
      </c>
      <c r="P95" s="209">
        <f>IF('信用保険料計算書（上限2000万）'!$Q$15="",0,IF($B95&lt;'信用保険料計算書（上限2000万）'!$Q$15,0,IF($B95&gt;'信用保険料計算書（上限2000万）'!$Q$16,0,1)))</f>
        <v>0</v>
      </c>
      <c r="Q95" s="209">
        <f>IF(P95=1,HLOOKUP(C95,'計算書（第7回）'!$C$123:$U$124,2,TRUE),0)</f>
        <v>0</v>
      </c>
      <c r="R95" s="212"/>
      <c r="S95" s="211">
        <f>COUNTIF($AB$13:$AB$19,"&lt;=2018/12/1")</f>
        <v>0</v>
      </c>
      <c r="T95" s="178" t="e">
        <f t="shared" si="11"/>
        <v>#NUM!</v>
      </c>
      <c r="U95" s="181">
        <f t="shared" si="7"/>
        <v>0</v>
      </c>
      <c r="V95" s="182">
        <f t="shared" si="8"/>
        <v>0</v>
      </c>
      <c r="W95" s="245">
        <f t="shared" si="9"/>
        <v>0</v>
      </c>
      <c r="X95" s="182"/>
    </row>
    <row r="96" spans="2:26">
      <c r="B96" s="214">
        <f t="shared" si="10"/>
        <v>43466</v>
      </c>
      <c r="C96" s="198">
        <f t="shared" si="6"/>
        <v>43435</v>
      </c>
      <c r="D96" s="209">
        <f>IF(B96&lt;'信用保険料計算書（上限2000万）'!$E$15,0,IF(B96&gt;'信用保険料計算書（上限2000万）'!$E$16,0,1))</f>
        <v>0</v>
      </c>
      <c r="E96" s="209">
        <f>IF(D96=1,HLOOKUP(C96,'計算書（第1回）'!$C$123:$U$124,2,TRUE),0)</f>
        <v>0</v>
      </c>
      <c r="F96" s="209">
        <f>IF('信用保険料計算書（上限2000万）'!$G$15="",0,IF($B96&lt;'信用保険料計算書（上限2000万）'!$G$15,0,IF($B96&gt;'信用保険料計算書（上限2000万）'!$G$16,0,1)))</f>
        <v>0</v>
      </c>
      <c r="G96" s="209">
        <f>IF(F96=1,HLOOKUP(C96,'計算書（第2回）'!$C$123:$U$124,2,TRUE),0)</f>
        <v>0</v>
      </c>
      <c r="H96" s="209">
        <f>IF('信用保険料計算書（上限2000万）'!$I$15="",0,IF($B96&lt;'信用保険料計算書（上限2000万）'!$I$15,0,IF($B96&gt;'信用保険料計算書（上限2000万）'!$I$16,0,1)))</f>
        <v>0</v>
      </c>
      <c r="I96" s="209">
        <f>IF(H96=1,HLOOKUP(C96,'計算書（第3回）'!$C$123:$U$124,2,TRUE),0)</f>
        <v>0</v>
      </c>
      <c r="J96" s="209">
        <f>IF('信用保険料計算書（上限2000万）'!$K$15="",0,IF($B96&lt;'信用保険料計算書（上限2000万）'!$K$15,0,IF($B96&gt;'信用保険料計算書（上限2000万）'!$K$16,0,1)))</f>
        <v>0</v>
      </c>
      <c r="K96" s="209">
        <f>IF(J96=1,HLOOKUP(C96,'計算書（第4回）'!$C$123:$U$124,2,TRUE),0)</f>
        <v>0</v>
      </c>
      <c r="L96" s="209">
        <f>IF('信用保険料計算書（上限2000万）'!$M$15="",0,IF($B96&lt;'信用保険料計算書（上限2000万）'!$M$15,0,IF($B96&gt;'信用保険料計算書（上限2000万）'!$M$16,0,1)))</f>
        <v>0</v>
      </c>
      <c r="M96" s="209">
        <f>IF(L96=1,HLOOKUP(C96,'計算書（第5回）'!$C$123:$U$124,2,TRUE),0)</f>
        <v>0</v>
      </c>
      <c r="N96" s="209">
        <f>IF('信用保険料計算書（上限2000万）'!$O$15="",0,IF($B96&lt;'信用保険料計算書（上限2000万）'!$O$15,0,IF($B96&gt;'信用保険料計算書（上限2000万）'!$O$16,0,1)))</f>
        <v>0</v>
      </c>
      <c r="O96" s="209">
        <f>IF(N96=1,HLOOKUP(C96,'計算書（第6回）'!$C$123:$U$124,2,TRUE),0)</f>
        <v>0</v>
      </c>
      <c r="P96" s="209">
        <f>IF('信用保険料計算書（上限2000万）'!$Q$15="",0,IF($B96&lt;'信用保険料計算書（上限2000万）'!$Q$15,0,IF($B96&gt;'信用保険料計算書（上限2000万）'!$Q$16,0,1)))</f>
        <v>0</v>
      </c>
      <c r="Q96" s="209">
        <f>IF(P96=1,HLOOKUP(C96,'計算書（第7回）'!$C$123:$U$124,2,TRUE),0)</f>
        <v>0</v>
      </c>
      <c r="R96" s="213"/>
      <c r="S96" s="211">
        <f>COUNTIF($AB$13:$AB$19,"&lt;=2019/1/1")</f>
        <v>0</v>
      </c>
      <c r="T96" s="178" t="e">
        <f t="shared" si="11"/>
        <v>#NUM!</v>
      </c>
      <c r="U96" s="181">
        <f t="shared" si="7"/>
        <v>0</v>
      </c>
      <c r="V96" s="182">
        <f t="shared" si="8"/>
        <v>0</v>
      </c>
      <c r="W96" s="245">
        <f t="shared" si="9"/>
        <v>0</v>
      </c>
      <c r="X96" s="182"/>
    </row>
    <row r="97" spans="2:24">
      <c r="B97" s="214">
        <f t="shared" si="10"/>
        <v>43497</v>
      </c>
      <c r="C97" s="198">
        <f t="shared" si="6"/>
        <v>43466</v>
      </c>
      <c r="D97" s="209">
        <f>IF(B97&lt;'信用保険料計算書（上限2000万）'!$E$15,0,IF(B97&gt;'信用保険料計算書（上限2000万）'!$E$16,0,1))</f>
        <v>0</v>
      </c>
      <c r="E97" s="209">
        <f>IF(D97=1,HLOOKUP(C97,'計算書（第1回）'!$C$123:$U$124,2,TRUE),0)</f>
        <v>0</v>
      </c>
      <c r="F97" s="209">
        <f>IF('信用保険料計算書（上限2000万）'!$G$15="",0,IF($B97&lt;'信用保険料計算書（上限2000万）'!$G$15,0,IF($B97&gt;'信用保険料計算書（上限2000万）'!$G$16,0,1)))</f>
        <v>0</v>
      </c>
      <c r="G97" s="209">
        <f>IF(F97=1,HLOOKUP(C97,'計算書（第2回）'!$C$123:$U$124,2,TRUE),0)</f>
        <v>0</v>
      </c>
      <c r="H97" s="209">
        <f>IF('信用保険料計算書（上限2000万）'!$I$15="",0,IF($B97&lt;'信用保険料計算書（上限2000万）'!$I$15,0,IF($B97&gt;'信用保険料計算書（上限2000万）'!$I$16,0,1)))</f>
        <v>0</v>
      </c>
      <c r="I97" s="209">
        <f>IF(H97=1,HLOOKUP(C97,'計算書（第3回）'!$C$123:$U$124,2,TRUE),0)</f>
        <v>0</v>
      </c>
      <c r="J97" s="209">
        <f>IF('信用保険料計算書（上限2000万）'!$K$15="",0,IF($B97&lt;'信用保険料計算書（上限2000万）'!$K$15,0,IF($B97&gt;'信用保険料計算書（上限2000万）'!$K$16,0,1)))</f>
        <v>0</v>
      </c>
      <c r="K97" s="209">
        <f>IF(J97=1,HLOOKUP(C97,'計算書（第4回）'!$C$123:$U$124,2,TRUE),0)</f>
        <v>0</v>
      </c>
      <c r="L97" s="209">
        <f>IF('信用保険料計算書（上限2000万）'!$M$15="",0,IF($B97&lt;'信用保険料計算書（上限2000万）'!$M$15,0,IF($B97&gt;'信用保険料計算書（上限2000万）'!$M$16,0,1)))</f>
        <v>0</v>
      </c>
      <c r="M97" s="209">
        <f>IF(L97=1,HLOOKUP(C97,'計算書（第5回）'!$C$123:$U$124,2,TRUE),0)</f>
        <v>0</v>
      </c>
      <c r="N97" s="209">
        <f>IF('信用保険料計算書（上限2000万）'!$O$15="",0,IF($B97&lt;'信用保険料計算書（上限2000万）'!$O$15,0,IF($B97&gt;'信用保険料計算書（上限2000万）'!$O$16,0,1)))</f>
        <v>0</v>
      </c>
      <c r="O97" s="209">
        <f>IF(N97=1,HLOOKUP(C97,'計算書（第6回）'!$C$123:$U$124,2,TRUE),0)</f>
        <v>0</v>
      </c>
      <c r="P97" s="209">
        <f>IF('信用保険料計算書（上限2000万）'!$Q$15="",0,IF($B97&lt;'信用保険料計算書（上限2000万）'!$Q$15,0,IF($B97&gt;'信用保険料計算書（上限2000万）'!$Q$16,0,1)))</f>
        <v>0</v>
      </c>
      <c r="Q97" s="209">
        <f>IF(P97=1,HLOOKUP(C97,'計算書（第7回）'!$C$123:$U$124,2,TRUE),0)</f>
        <v>0</v>
      </c>
      <c r="R97" s="213"/>
      <c r="S97" s="211">
        <f>COUNTIF($AB$13:$AB$19,"&lt;=2019/2/1")</f>
        <v>0</v>
      </c>
      <c r="T97" s="178" t="e">
        <f t="shared" si="11"/>
        <v>#NUM!</v>
      </c>
      <c r="U97" s="181">
        <f t="shared" si="7"/>
        <v>0</v>
      </c>
      <c r="V97" s="182">
        <f t="shared" si="8"/>
        <v>0</v>
      </c>
      <c r="W97" s="245">
        <f t="shared" si="9"/>
        <v>0</v>
      </c>
      <c r="X97" s="182"/>
    </row>
    <row r="98" spans="2:24">
      <c r="B98" s="214">
        <f t="shared" si="10"/>
        <v>43525</v>
      </c>
      <c r="C98" s="198">
        <f t="shared" si="6"/>
        <v>43497</v>
      </c>
      <c r="D98" s="209">
        <f>IF(B98&lt;'信用保険料計算書（上限2000万）'!$E$15,0,IF(B98&gt;'信用保険料計算書（上限2000万）'!$E$16,0,1))</f>
        <v>0</v>
      </c>
      <c r="E98" s="209">
        <f>IF(D98=1,HLOOKUP(C98,'計算書（第1回）'!$C$123:$U$124,2,TRUE),0)</f>
        <v>0</v>
      </c>
      <c r="F98" s="209">
        <f>IF('信用保険料計算書（上限2000万）'!$G$15="",0,IF($B98&lt;'信用保険料計算書（上限2000万）'!$G$15,0,IF($B98&gt;'信用保険料計算書（上限2000万）'!$G$16,0,1)))</f>
        <v>0</v>
      </c>
      <c r="G98" s="209">
        <f>IF(F98=1,HLOOKUP(C98,'計算書（第2回）'!$C$123:$U$124,2,TRUE),0)</f>
        <v>0</v>
      </c>
      <c r="H98" s="209">
        <f>IF('信用保険料計算書（上限2000万）'!$I$15="",0,IF($B98&lt;'信用保険料計算書（上限2000万）'!$I$15,0,IF($B98&gt;'信用保険料計算書（上限2000万）'!$I$16,0,1)))</f>
        <v>0</v>
      </c>
      <c r="I98" s="209">
        <f>IF(H98=1,HLOOKUP(C98,'計算書（第3回）'!$C$123:$U$124,2,TRUE),0)</f>
        <v>0</v>
      </c>
      <c r="J98" s="209">
        <f>IF('信用保険料計算書（上限2000万）'!$K$15="",0,IF($B98&lt;'信用保険料計算書（上限2000万）'!$K$15,0,IF($B98&gt;'信用保険料計算書（上限2000万）'!$K$16,0,1)))</f>
        <v>0</v>
      </c>
      <c r="K98" s="209">
        <f>IF(J98=1,HLOOKUP(C98,'計算書（第4回）'!$C$123:$U$124,2,TRUE),0)</f>
        <v>0</v>
      </c>
      <c r="L98" s="209">
        <f>IF('信用保険料計算書（上限2000万）'!$M$15="",0,IF($B98&lt;'信用保険料計算書（上限2000万）'!$M$15,0,IF($B98&gt;'信用保険料計算書（上限2000万）'!$M$16,0,1)))</f>
        <v>0</v>
      </c>
      <c r="M98" s="209">
        <f>IF(L98=1,HLOOKUP(C98,'計算書（第5回）'!$C$123:$U$124,2,TRUE),0)</f>
        <v>0</v>
      </c>
      <c r="N98" s="209">
        <f>IF('信用保険料計算書（上限2000万）'!$O$15="",0,IF($B98&lt;'信用保険料計算書（上限2000万）'!$O$15,0,IF($B98&gt;'信用保険料計算書（上限2000万）'!$O$16,0,1)))</f>
        <v>0</v>
      </c>
      <c r="O98" s="209">
        <f>IF(N98=1,HLOOKUP(C98,'計算書（第6回）'!$C$123:$U$124,2,TRUE),0)</f>
        <v>0</v>
      </c>
      <c r="P98" s="209">
        <f>IF('信用保険料計算書（上限2000万）'!$Q$15="",0,IF($B98&lt;'信用保険料計算書（上限2000万）'!$Q$15,0,IF($B98&gt;'信用保険料計算書（上限2000万）'!$Q$16,0,1)))</f>
        <v>0</v>
      </c>
      <c r="Q98" s="209">
        <f>IF(P98=1,HLOOKUP(C98,'計算書（第7回）'!$C$123:$U$124,2,TRUE),0)</f>
        <v>0</v>
      </c>
      <c r="R98" s="213"/>
      <c r="S98" s="211">
        <f>COUNTIF($AB$13:$AB$19,"&lt;=2019/3/1")</f>
        <v>0</v>
      </c>
      <c r="T98" s="178" t="e">
        <f t="shared" si="11"/>
        <v>#NUM!</v>
      </c>
      <c r="U98" s="181">
        <f t="shared" si="7"/>
        <v>0</v>
      </c>
      <c r="V98" s="182">
        <f t="shared" si="8"/>
        <v>0</v>
      </c>
      <c r="W98" s="245">
        <f t="shared" si="9"/>
        <v>0</v>
      </c>
      <c r="X98" s="183">
        <f>INT(SUM(W93:W98))</f>
        <v>0</v>
      </c>
    </row>
    <row r="99" spans="2:24">
      <c r="B99" s="214">
        <f t="shared" si="10"/>
        <v>43556</v>
      </c>
      <c r="C99" s="198">
        <f t="shared" si="6"/>
        <v>43525</v>
      </c>
      <c r="D99" s="209">
        <f>IF(B99&lt;'信用保険料計算書（上限2000万）'!$E$15,0,IF(B99&gt;'信用保険料計算書（上限2000万）'!$E$16,0,1))</f>
        <v>0</v>
      </c>
      <c r="E99" s="209">
        <f>IF(D99=1,HLOOKUP(C99,'計算書（第1回）'!$C$123:$U$124,2,TRUE),0)</f>
        <v>0</v>
      </c>
      <c r="F99" s="209">
        <f>IF('信用保険料計算書（上限2000万）'!$G$15="",0,IF($B99&lt;'信用保険料計算書（上限2000万）'!$G$15,0,IF($B99&gt;'信用保険料計算書（上限2000万）'!$G$16,0,1)))</f>
        <v>0</v>
      </c>
      <c r="G99" s="209">
        <f>IF(F99=1,HLOOKUP(C99,'計算書（第2回）'!$C$123:$U$124,2,TRUE),0)</f>
        <v>0</v>
      </c>
      <c r="H99" s="209">
        <f>IF('信用保険料計算書（上限2000万）'!$I$15="",0,IF($B99&lt;'信用保険料計算書（上限2000万）'!$I$15,0,IF($B99&gt;'信用保険料計算書（上限2000万）'!$I$16,0,1)))</f>
        <v>0</v>
      </c>
      <c r="I99" s="209">
        <f>IF(H99=1,HLOOKUP(C99,'計算書（第3回）'!$C$123:$U$124,2,TRUE),0)</f>
        <v>0</v>
      </c>
      <c r="J99" s="209">
        <f>IF('信用保険料計算書（上限2000万）'!$K$15="",0,IF($B99&lt;'信用保険料計算書（上限2000万）'!$K$15,0,IF($B99&gt;'信用保険料計算書（上限2000万）'!$K$16,0,1)))</f>
        <v>0</v>
      </c>
      <c r="K99" s="209">
        <f>IF(J99=1,HLOOKUP(C99,'計算書（第4回）'!$C$123:$U$124,2,TRUE),0)</f>
        <v>0</v>
      </c>
      <c r="L99" s="209">
        <f>IF('信用保険料計算書（上限2000万）'!$M$15="",0,IF($B99&lt;'信用保険料計算書（上限2000万）'!$M$15,0,IF($B99&gt;'信用保険料計算書（上限2000万）'!$M$16,0,1)))</f>
        <v>0</v>
      </c>
      <c r="M99" s="209">
        <f>IF(L99=1,HLOOKUP(C99,'計算書（第5回）'!$C$123:$U$124,2,TRUE),0)</f>
        <v>0</v>
      </c>
      <c r="N99" s="209">
        <f>IF('信用保険料計算書（上限2000万）'!$O$15="",0,IF($B99&lt;'信用保険料計算書（上限2000万）'!$O$15,0,IF($B99&gt;'信用保険料計算書（上限2000万）'!$O$16,0,1)))</f>
        <v>0</v>
      </c>
      <c r="O99" s="209">
        <f>IF(N99=1,HLOOKUP(C99,'計算書（第6回）'!$C$123:$U$124,2,TRUE),0)</f>
        <v>0</v>
      </c>
      <c r="P99" s="209">
        <f>IF('信用保険料計算書（上限2000万）'!$Q$15="",0,IF($B99&lt;'信用保険料計算書（上限2000万）'!$Q$15,0,IF($B99&gt;'信用保険料計算書（上限2000万）'!$Q$16,0,1)))</f>
        <v>0</v>
      </c>
      <c r="Q99" s="209">
        <f>IF(P99=1,HLOOKUP(C99,'計算書（第7回）'!$C$123:$U$124,2,TRUE),0)</f>
        <v>0</v>
      </c>
      <c r="R99" s="213"/>
      <c r="S99" s="211">
        <f>COUNTIF($AB$13:$AB$19,"&lt;=2019/4/1")</f>
        <v>0</v>
      </c>
      <c r="T99" s="178" t="e">
        <f t="shared" si="11"/>
        <v>#NUM!</v>
      </c>
      <c r="U99" s="181">
        <f t="shared" si="7"/>
        <v>0</v>
      </c>
      <c r="V99" s="182">
        <f t="shared" si="8"/>
        <v>0</v>
      </c>
      <c r="W99" s="245">
        <f t="shared" si="9"/>
        <v>0</v>
      </c>
      <c r="X99" s="182"/>
    </row>
    <row r="100" spans="2:24">
      <c r="B100" s="214">
        <f t="shared" si="10"/>
        <v>43586</v>
      </c>
      <c r="C100" s="198">
        <f t="shared" si="6"/>
        <v>43556</v>
      </c>
      <c r="D100" s="209">
        <f>IF(B100&lt;'信用保険料計算書（上限2000万）'!$E$15,0,IF(B100&gt;'信用保険料計算書（上限2000万）'!$E$16,0,1))</f>
        <v>0</v>
      </c>
      <c r="E100" s="209">
        <f>IF(D100=1,HLOOKUP(C100,'計算書（第1回）'!$C$123:$U$124,2,TRUE),0)</f>
        <v>0</v>
      </c>
      <c r="F100" s="209">
        <f>IF('信用保険料計算書（上限2000万）'!$G$15="",0,IF($B100&lt;'信用保険料計算書（上限2000万）'!$G$15,0,IF($B100&gt;'信用保険料計算書（上限2000万）'!$G$16,0,1)))</f>
        <v>0</v>
      </c>
      <c r="G100" s="209">
        <f>IF(F100=1,HLOOKUP(C100,'計算書（第2回）'!$C$123:$U$124,2,TRUE),0)</f>
        <v>0</v>
      </c>
      <c r="H100" s="209">
        <f>IF('信用保険料計算書（上限2000万）'!$I$15="",0,IF($B100&lt;'信用保険料計算書（上限2000万）'!$I$15,0,IF($B100&gt;'信用保険料計算書（上限2000万）'!$I$16,0,1)))</f>
        <v>0</v>
      </c>
      <c r="I100" s="209">
        <f>IF(H100=1,HLOOKUP(C100,'計算書（第3回）'!$C$123:$U$124,2,TRUE),0)</f>
        <v>0</v>
      </c>
      <c r="J100" s="209">
        <f>IF('信用保険料計算書（上限2000万）'!$K$15="",0,IF($B100&lt;'信用保険料計算書（上限2000万）'!$K$15,0,IF($B100&gt;'信用保険料計算書（上限2000万）'!$K$16,0,1)))</f>
        <v>0</v>
      </c>
      <c r="K100" s="209">
        <f>IF(J100=1,HLOOKUP(C100,'計算書（第4回）'!$C$123:$U$124,2,TRUE),0)</f>
        <v>0</v>
      </c>
      <c r="L100" s="209">
        <f>IF('信用保険料計算書（上限2000万）'!$M$15="",0,IF($B100&lt;'信用保険料計算書（上限2000万）'!$M$15,0,IF($B100&gt;'信用保険料計算書（上限2000万）'!$M$16,0,1)))</f>
        <v>0</v>
      </c>
      <c r="M100" s="209">
        <f>IF(L100=1,HLOOKUP(C100,'計算書（第5回）'!$C$123:$U$124,2,TRUE),0)</f>
        <v>0</v>
      </c>
      <c r="N100" s="209">
        <f>IF('信用保険料計算書（上限2000万）'!$O$15="",0,IF($B100&lt;'信用保険料計算書（上限2000万）'!$O$15,0,IF($B100&gt;'信用保険料計算書（上限2000万）'!$O$16,0,1)))</f>
        <v>0</v>
      </c>
      <c r="O100" s="209">
        <f>IF(N100=1,HLOOKUP(C100,'計算書（第6回）'!$C$123:$U$124,2,TRUE),0)</f>
        <v>0</v>
      </c>
      <c r="P100" s="209">
        <f>IF('信用保険料計算書（上限2000万）'!$Q$15="",0,IF($B100&lt;'信用保険料計算書（上限2000万）'!$Q$15,0,IF($B100&gt;'信用保険料計算書（上限2000万）'!$Q$16,0,1)))</f>
        <v>0</v>
      </c>
      <c r="Q100" s="209">
        <f>IF(P100=1,HLOOKUP(C100,'計算書（第7回）'!$C$123:$U$124,2,TRUE),0)</f>
        <v>0</v>
      </c>
      <c r="R100" s="213"/>
      <c r="S100" s="211">
        <f>COUNTIF($AB$13:$AB$19,"&lt;=2019/5/1")</f>
        <v>0</v>
      </c>
      <c r="T100" s="178" t="e">
        <f t="shared" si="11"/>
        <v>#NUM!</v>
      </c>
      <c r="U100" s="181">
        <f t="shared" si="7"/>
        <v>0</v>
      </c>
      <c r="V100" s="182">
        <f t="shared" si="8"/>
        <v>0</v>
      </c>
      <c r="W100" s="245">
        <f t="shared" si="9"/>
        <v>0</v>
      </c>
      <c r="X100" s="182"/>
    </row>
    <row r="101" spans="2:24">
      <c r="B101" s="214">
        <f t="shared" si="10"/>
        <v>43617</v>
      </c>
      <c r="C101" s="198">
        <f t="shared" si="6"/>
        <v>43586</v>
      </c>
      <c r="D101" s="209">
        <f>IF(B101&lt;'信用保険料計算書（上限2000万）'!$E$15,0,IF(B101&gt;'信用保険料計算書（上限2000万）'!$E$16,0,1))</f>
        <v>0</v>
      </c>
      <c r="E101" s="209">
        <f>IF(D101=1,HLOOKUP(C101,'計算書（第1回）'!$C$123:$U$124,2,TRUE),0)</f>
        <v>0</v>
      </c>
      <c r="F101" s="209">
        <f>IF('信用保険料計算書（上限2000万）'!$G$15="",0,IF($B101&lt;'信用保険料計算書（上限2000万）'!$G$15,0,IF($B101&gt;'信用保険料計算書（上限2000万）'!$G$16,0,1)))</f>
        <v>0</v>
      </c>
      <c r="G101" s="209">
        <f>IF(F101=1,HLOOKUP(C101,'計算書（第2回）'!$C$123:$U$124,2,TRUE),0)</f>
        <v>0</v>
      </c>
      <c r="H101" s="209">
        <f>IF('信用保険料計算書（上限2000万）'!$I$15="",0,IF($B101&lt;'信用保険料計算書（上限2000万）'!$I$15,0,IF($B101&gt;'信用保険料計算書（上限2000万）'!$I$16,0,1)))</f>
        <v>0</v>
      </c>
      <c r="I101" s="209">
        <f>IF(H101=1,HLOOKUP(C101,'計算書（第3回）'!$C$123:$U$124,2,TRUE),0)</f>
        <v>0</v>
      </c>
      <c r="J101" s="209">
        <f>IF('信用保険料計算書（上限2000万）'!$K$15="",0,IF($B101&lt;'信用保険料計算書（上限2000万）'!$K$15,0,IF($B101&gt;'信用保険料計算書（上限2000万）'!$K$16,0,1)))</f>
        <v>0</v>
      </c>
      <c r="K101" s="209">
        <f>IF(J101=1,HLOOKUP(C101,'計算書（第4回）'!$C$123:$U$124,2,TRUE),0)</f>
        <v>0</v>
      </c>
      <c r="L101" s="209">
        <f>IF('信用保険料計算書（上限2000万）'!$M$15="",0,IF($B101&lt;'信用保険料計算書（上限2000万）'!$M$15,0,IF($B101&gt;'信用保険料計算書（上限2000万）'!$M$16,0,1)))</f>
        <v>0</v>
      </c>
      <c r="M101" s="209">
        <f>IF(L101=1,HLOOKUP(C101,'計算書（第5回）'!$C$123:$U$124,2,TRUE),0)</f>
        <v>0</v>
      </c>
      <c r="N101" s="209">
        <f>IF('信用保険料計算書（上限2000万）'!$O$15="",0,IF($B101&lt;'信用保険料計算書（上限2000万）'!$O$15,0,IF($B101&gt;'信用保険料計算書（上限2000万）'!$O$16,0,1)))</f>
        <v>0</v>
      </c>
      <c r="O101" s="209">
        <f>IF(N101=1,HLOOKUP(C101,'計算書（第6回）'!$C$123:$U$124,2,TRUE),0)</f>
        <v>0</v>
      </c>
      <c r="P101" s="209">
        <f>IF('信用保険料計算書（上限2000万）'!$Q$15="",0,IF($B101&lt;'信用保険料計算書（上限2000万）'!$Q$15,0,IF($B101&gt;'信用保険料計算書（上限2000万）'!$Q$16,0,1)))</f>
        <v>0</v>
      </c>
      <c r="Q101" s="209">
        <f>IF(P101=1,HLOOKUP(C101,'計算書（第7回）'!$C$123:$U$124,2,TRUE),0)</f>
        <v>0</v>
      </c>
      <c r="R101" s="213"/>
      <c r="S101" s="211">
        <f>COUNTIF($AB$13:$AB$19,"&lt;=2019/6/1")</f>
        <v>0</v>
      </c>
      <c r="T101" s="178" t="e">
        <f t="shared" si="11"/>
        <v>#NUM!</v>
      </c>
      <c r="U101" s="181">
        <f t="shared" si="7"/>
        <v>0</v>
      </c>
      <c r="V101" s="182">
        <f t="shared" si="8"/>
        <v>0</v>
      </c>
      <c r="W101" s="245">
        <f t="shared" si="9"/>
        <v>0</v>
      </c>
      <c r="X101" s="182"/>
    </row>
    <row r="102" spans="2:24">
      <c r="B102" s="214">
        <f t="shared" si="10"/>
        <v>43647</v>
      </c>
      <c r="C102" s="198">
        <f t="shared" si="6"/>
        <v>43617</v>
      </c>
      <c r="D102" s="209">
        <f>IF(B102&lt;'信用保険料計算書（上限2000万）'!$E$15,0,IF(B102&gt;'信用保険料計算書（上限2000万）'!$E$16,0,1))</f>
        <v>0</v>
      </c>
      <c r="E102" s="209">
        <f>IF(D102=1,HLOOKUP(C102,'計算書（第1回）'!$C$123:$U$124,2,TRUE),0)</f>
        <v>0</v>
      </c>
      <c r="F102" s="209">
        <f>IF('信用保険料計算書（上限2000万）'!$G$15="",0,IF($B102&lt;'信用保険料計算書（上限2000万）'!$G$15,0,IF($B102&gt;'信用保険料計算書（上限2000万）'!$G$16,0,1)))</f>
        <v>0</v>
      </c>
      <c r="G102" s="209">
        <f>IF(F102=1,HLOOKUP(C102,'計算書（第2回）'!$C$123:$U$124,2,TRUE),0)</f>
        <v>0</v>
      </c>
      <c r="H102" s="209">
        <f>IF('信用保険料計算書（上限2000万）'!$I$15="",0,IF($B102&lt;'信用保険料計算書（上限2000万）'!$I$15,0,IF($B102&gt;'信用保険料計算書（上限2000万）'!$I$16,0,1)))</f>
        <v>0</v>
      </c>
      <c r="I102" s="209">
        <f>IF(H102=1,HLOOKUP(C102,'計算書（第3回）'!$C$123:$U$124,2,TRUE),0)</f>
        <v>0</v>
      </c>
      <c r="J102" s="209">
        <f>IF('信用保険料計算書（上限2000万）'!$K$15="",0,IF($B102&lt;'信用保険料計算書（上限2000万）'!$K$15,0,IF($B102&gt;'信用保険料計算書（上限2000万）'!$K$16,0,1)))</f>
        <v>0</v>
      </c>
      <c r="K102" s="209">
        <f>IF(J102=1,HLOOKUP(C102,'計算書（第4回）'!$C$123:$U$124,2,TRUE),0)</f>
        <v>0</v>
      </c>
      <c r="L102" s="209">
        <f>IF('信用保険料計算書（上限2000万）'!$M$15="",0,IF($B102&lt;'信用保険料計算書（上限2000万）'!$M$15,0,IF($B102&gt;'信用保険料計算書（上限2000万）'!$M$16,0,1)))</f>
        <v>0</v>
      </c>
      <c r="M102" s="209">
        <f>IF(L102=1,HLOOKUP(C102,'計算書（第5回）'!$C$123:$U$124,2,TRUE),0)</f>
        <v>0</v>
      </c>
      <c r="N102" s="209">
        <f>IF('信用保険料計算書（上限2000万）'!$O$15="",0,IF($B102&lt;'信用保険料計算書（上限2000万）'!$O$15,0,IF($B102&gt;'信用保険料計算書（上限2000万）'!$O$16,0,1)))</f>
        <v>0</v>
      </c>
      <c r="O102" s="209">
        <f>IF(N102=1,HLOOKUP(C102,'計算書（第6回）'!$C$123:$U$124,2,TRUE),0)</f>
        <v>0</v>
      </c>
      <c r="P102" s="209">
        <f>IF('信用保険料計算書（上限2000万）'!$Q$15="",0,IF($B102&lt;'信用保険料計算書（上限2000万）'!$Q$15,0,IF($B102&gt;'信用保険料計算書（上限2000万）'!$Q$16,0,1)))</f>
        <v>0</v>
      </c>
      <c r="Q102" s="209">
        <f>IF(P102=1,HLOOKUP(C102,'計算書（第7回）'!$C$123:$U$124,2,TRUE),0)</f>
        <v>0</v>
      </c>
      <c r="R102" s="213"/>
      <c r="S102" s="211">
        <f>COUNTIF($AB$13:$AB$19,"&lt;=2019/7/1")</f>
        <v>0</v>
      </c>
      <c r="T102" s="178" t="e">
        <f t="shared" si="11"/>
        <v>#NUM!</v>
      </c>
      <c r="U102" s="181">
        <f t="shared" si="7"/>
        <v>0</v>
      </c>
      <c r="V102" s="182">
        <f>IF(U102=0,0,IF(U102&gt;VLOOKUP(T102,$AA$5:$AB$8,2,TRUE),VLOOKUP(T102,$AA$5:$AB$8,2,TRUE),U102))</f>
        <v>0</v>
      </c>
      <c r="W102" s="245">
        <f t="shared" si="9"/>
        <v>0</v>
      </c>
      <c r="X102" s="182"/>
    </row>
    <row r="103" spans="2:24">
      <c r="B103" s="214">
        <f t="shared" si="10"/>
        <v>43678</v>
      </c>
      <c r="C103" s="198">
        <f t="shared" si="6"/>
        <v>43647</v>
      </c>
      <c r="D103" s="209">
        <f>IF(B103&lt;'信用保険料計算書（上限2000万）'!$E$15,0,IF(B103&gt;'信用保険料計算書（上限2000万）'!$E$16,0,1))</f>
        <v>0</v>
      </c>
      <c r="E103" s="209">
        <f>IF(D103=1,HLOOKUP(C103,'計算書（第1回）'!$C$123:$U$124,2,TRUE),0)</f>
        <v>0</v>
      </c>
      <c r="F103" s="209">
        <f>IF('信用保険料計算書（上限2000万）'!$G$15="",0,IF($B103&lt;'信用保険料計算書（上限2000万）'!$G$15,0,IF($B103&gt;'信用保険料計算書（上限2000万）'!$G$16,0,1)))</f>
        <v>0</v>
      </c>
      <c r="G103" s="209">
        <f>IF(F103=1,HLOOKUP(C103,'計算書（第2回）'!$C$123:$U$124,2,TRUE),0)</f>
        <v>0</v>
      </c>
      <c r="H103" s="209">
        <f>IF('信用保険料計算書（上限2000万）'!$I$15="",0,IF($B103&lt;'信用保険料計算書（上限2000万）'!$I$15,0,IF($B103&gt;'信用保険料計算書（上限2000万）'!$I$16,0,1)))</f>
        <v>0</v>
      </c>
      <c r="I103" s="209">
        <f>IF(H103=1,HLOOKUP(C103,'計算書（第3回）'!$C$123:$U$124,2,TRUE),0)</f>
        <v>0</v>
      </c>
      <c r="J103" s="209">
        <f>IF('信用保険料計算書（上限2000万）'!$K$15="",0,IF($B103&lt;'信用保険料計算書（上限2000万）'!$K$15,0,IF($B103&gt;'信用保険料計算書（上限2000万）'!$K$16,0,1)))</f>
        <v>0</v>
      </c>
      <c r="K103" s="209">
        <f>IF(J103=1,HLOOKUP(C103,'計算書（第4回）'!$C$123:$U$124,2,TRUE),0)</f>
        <v>0</v>
      </c>
      <c r="L103" s="209">
        <f>IF('信用保険料計算書（上限2000万）'!$M$15="",0,IF($B103&lt;'信用保険料計算書（上限2000万）'!$M$15,0,IF($B103&gt;'信用保険料計算書（上限2000万）'!$M$16,0,1)))</f>
        <v>0</v>
      </c>
      <c r="M103" s="209">
        <f>IF(L103=1,HLOOKUP(C103,'計算書（第5回）'!$C$123:$U$124,2,TRUE),0)</f>
        <v>0</v>
      </c>
      <c r="N103" s="209">
        <f>IF('信用保険料計算書（上限2000万）'!$O$15="",0,IF($B103&lt;'信用保険料計算書（上限2000万）'!$O$15,0,IF($B103&gt;'信用保険料計算書（上限2000万）'!$O$16,0,1)))</f>
        <v>0</v>
      </c>
      <c r="O103" s="209">
        <f>IF(N103=1,HLOOKUP(C103,'計算書（第6回）'!$C$123:$U$124,2,TRUE),0)</f>
        <v>0</v>
      </c>
      <c r="P103" s="209">
        <f>IF('信用保険料計算書（上限2000万）'!$Q$15="",0,IF($B103&lt;'信用保険料計算書（上限2000万）'!$Q$15,0,IF($B103&gt;'信用保険料計算書（上限2000万）'!$Q$16,0,1)))</f>
        <v>0</v>
      </c>
      <c r="Q103" s="209">
        <f>IF(P103=1,HLOOKUP(C103,'計算書（第7回）'!$C$123:$U$124,2,TRUE),0)</f>
        <v>0</v>
      </c>
      <c r="R103" s="213"/>
      <c r="S103" s="211">
        <f>COUNTIF($AB$13:$AB$19,"&lt;=2019/8/1")</f>
        <v>0</v>
      </c>
      <c r="T103" s="178" t="e">
        <f t="shared" si="11"/>
        <v>#NUM!</v>
      </c>
      <c r="U103" s="181">
        <f t="shared" si="7"/>
        <v>0</v>
      </c>
      <c r="V103" s="182">
        <f t="shared" ref="V103:V166" si="12">IF(U103=0,0,IF(U103&gt;VLOOKUP(T103,$AA$5:$AB$8,2,TRUE),VLOOKUP(T103,$AA$5:$AB$8,2,TRUE),U103))</f>
        <v>0</v>
      </c>
      <c r="W103" s="245">
        <f t="shared" si="9"/>
        <v>0</v>
      </c>
      <c r="X103" s="182"/>
    </row>
    <row r="104" spans="2:24">
      <c r="B104" s="214">
        <f t="shared" si="10"/>
        <v>43709</v>
      </c>
      <c r="C104" s="198">
        <f t="shared" si="6"/>
        <v>43678</v>
      </c>
      <c r="D104" s="209">
        <f>IF(B104&lt;'信用保険料計算書（上限2000万）'!$E$15,0,IF(B104&gt;'信用保険料計算書（上限2000万）'!$E$16,0,1))</f>
        <v>0</v>
      </c>
      <c r="E104" s="209">
        <f>IF(D104=1,HLOOKUP(C104,'計算書（第1回）'!$C$123:$U$124,2,TRUE),0)</f>
        <v>0</v>
      </c>
      <c r="F104" s="209">
        <f>IF('信用保険料計算書（上限2000万）'!$G$15="",0,IF($B104&lt;'信用保険料計算書（上限2000万）'!$G$15,0,IF($B104&gt;'信用保険料計算書（上限2000万）'!$G$16,0,1)))</f>
        <v>0</v>
      </c>
      <c r="G104" s="209">
        <f>IF(F104=1,HLOOKUP(C104,'計算書（第2回）'!$C$123:$U$124,2,TRUE),0)</f>
        <v>0</v>
      </c>
      <c r="H104" s="209">
        <f>IF('信用保険料計算書（上限2000万）'!$I$15="",0,IF($B104&lt;'信用保険料計算書（上限2000万）'!$I$15,0,IF($B104&gt;'信用保険料計算書（上限2000万）'!$I$16,0,1)))</f>
        <v>0</v>
      </c>
      <c r="I104" s="209">
        <f>IF(H104=1,HLOOKUP(C104,'計算書（第3回）'!$C$123:$U$124,2,TRUE),0)</f>
        <v>0</v>
      </c>
      <c r="J104" s="209">
        <f>IF('信用保険料計算書（上限2000万）'!$K$15="",0,IF($B104&lt;'信用保険料計算書（上限2000万）'!$K$15,0,IF($B104&gt;'信用保険料計算書（上限2000万）'!$K$16,0,1)))</f>
        <v>0</v>
      </c>
      <c r="K104" s="209">
        <f>IF(J104=1,HLOOKUP(C104,'計算書（第4回）'!$C$123:$U$124,2,TRUE),0)</f>
        <v>0</v>
      </c>
      <c r="L104" s="209">
        <f>IF('信用保険料計算書（上限2000万）'!$M$15="",0,IF($B104&lt;'信用保険料計算書（上限2000万）'!$M$15,0,IF($B104&gt;'信用保険料計算書（上限2000万）'!$M$16,0,1)))</f>
        <v>0</v>
      </c>
      <c r="M104" s="209">
        <f>IF(L104=1,HLOOKUP(C104,'計算書（第5回）'!$C$123:$U$124,2,TRUE),0)</f>
        <v>0</v>
      </c>
      <c r="N104" s="209">
        <f>IF('信用保険料計算書（上限2000万）'!$O$15="",0,IF($B104&lt;'信用保険料計算書（上限2000万）'!$O$15,0,IF($B104&gt;'信用保険料計算書（上限2000万）'!$O$16,0,1)))</f>
        <v>0</v>
      </c>
      <c r="O104" s="209">
        <f>IF(N104=1,HLOOKUP(C104,'計算書（第6回）'!$C$123:$U$124,2,TRUE),0)</f>
        <v>0</v>
      </c>
      <c r="P104" s="209">
        <f>IF('信用保険料計算書（上限2000万）'!$Q$15="",0,IF($B104&lt;'信用保険料計算書（上限2000万）'!$Q$15,0,IF($B104&gt;'信用保険料計算書（上限2000万）'!$Q$16,0,1)))</f>
        <v>0</v>
      </c>
      <c r="Q104" s="209">
        <f>IF(P104=1,HLOOKUP(C104,'計算書（第7回）'!$C$123:$U$124,2,TRUE),0)</f>
        <v>0</v>
      </c>
      <c r="R104" s="213"/>
      <c r="S104" s="211">
        <f>COUNTIF($AB$13:$AB$19,"&lt;=2019/9/1")</f>
        <v>0</v>
      </c>
      <c r="T104" s="178" t="e">
        <f t="shared" si="11"/>
        <v>#NUM!</v>
      </c>
      <c r="U104" s="181">
        <f t="shared" si="7"/>
        <v>0</v>
      </c>
      <c r="V104" s="182">
        <f t="shared" si="12"/>
        <v>0</v>
      </c>
      <c r="W104" s="245">
        <f t="shared" si="9"/>
        <v>0</v>
      </c>
      <c r="X104" s="183">
        <f>INT(SUM(W99:W104))</f>
        <v>0</v>
      </c>
    </row>
    <row r="105" spans="2:24">
      <c r="B105" s="214">
        <f t="shared" si="10"/>
        <v>43739</v>
      </c>
      <c r="C105" s="198">
        <f t="shared" si="6"/>
        <v>43709</v>
      </c>
      <c r="D105" s="209">
        <f>IF(B105&lt;'信用保険料計算書（上限2000万）'!$E$15,0,IF(B105&gt;'信用保険料計算書（上限2000万）'!$E$16,0,1))</f>
        <v>0</v>
      </c>
      <c r="E105" s="209">
        <f>IF(D105=1,HLOOKUP(C105,'計算書（第1回）'!$C$123:$U$124,2,TRUE),0)</f>
        <v>0</v>
      </c>
      <c r="F105" s="209">
        <f>IF('信用保険料計算書（上限2000万）'!$G$15="",0,IF($B105&lt;'信用保険料計算書（上限2000万）'!$G$15,0,IF($B105&gt;'信用保険料計算書（上限2000万）'!$G$16,0,1)))</f>
        <v>0</v>
      </c>
      <c r="G105" s="209">
        <f>IF(F105=1,HLOOKUP(C105,'計算書（第2回）'!$C$123:$U$124,2,TRUE),0)</f>
        <v>0</v>
      </c>
      <c r="H105" s="209">
        <f>IF('信用保険料計算書（上限2000万）'!$I$15="",0,IF($B105&lt;'信用保険料計算書（上限2000万）'!$I$15,0,IF($B105&gt;'信用保険料計算書（上限2000万）'!$I$16,0,1)))</f>
        <v>0</v>
      </c>
      <c r="I105" s="209">
        <f>IF(H105=1,HLOOKUP(C105,'計算書（第3回）'!$C$123:$U$124,2,TRUE),0)</f>
        <v>0</v>
      </c>
      <c r="J105" s="209">
        <f>IF('信用保険料計算書（上限2000万）'!$K$15="",0,IF($B105&lt;'信用保険料計算書（上限2000万）'!$K$15,0,IF($B105&gt;'信用保険料計算書（上限2000万）'!$K$16,0,1)))</f>
        <v>0</v>
      </c>
      <c r="K105" s="209">
        <f>IF(J105=1,HLOOKUP(C105,'計算書（第4回）'!$C$123:$U$124,2,TRUE),0)</f>
        <v>0</v>
      </c>
      <c r="L105" s="209">
        <f>IF('信用保険料計算書（上限2000万）'!$M$15="",0,IF($B105&lt;'信用保険料計算書（上限2000万）'!$M$15,0,IF($B105&gt;'信用保険料計算書（上限2000万）'!$M$16,0,1)))</f>
        <v>0</v>
      </c>
      <c r="M105" s="209">
        <f>IF(L105=1,HLOOKUP(C105,'計算書（第5回）'!$C$123:$U$124,2,TRUE),0)</f>
        <v>0</v>
      </c>
      <c r="N105" s="209">
        <f>IF('信用保険料計算書（上限2000万）'!$O$15="",0,IF($B105&lt;'信用保険料計算書（上限2000万）'!$O$15,0,IF($B105&gt;'信用保険料計算書（上限2000万）'!$O$16,0,1)))</f>
        <v>0</v>
      </c>
      <c r="O105" s="209">
        <f>IF(N105=1,HLOOKUP(C105,'計算書（第6回）'!$C$123:$U$124,2,TRUE),0)</f>
        <v>0</v>
      </c>
      <c r="P105" s="209">
        <f>IF('信用保険料計算書（上限2000万）'!$Q$15="",0,IF($B105&lt;'信用保険料計算書（上限2000万）'!$Q$15,0,IF($B105&gt;'信用保険料計算書（上限2000万）'!$Q$16,0,1)))</f>
        <v>0</v>
      </c>
      <c r="Q105" s="209">
        <f>IF(P105=1,HLOOKUP(C105,'計算書（第7回）'!$C$123:$U$124,2,TRUE),0)</f>
        <v>0</v>
      </c>
      <c r="R105" s="213"/>
      <c r="S105" s="211">
        <f>COUNTIF($AB$13:$AB$19,"&lt;=2019/10/1")</f>
        <v>0</v>
      </c>
      <c r="T105" s="178" t="e">
        <f t="shared" si="11"/>
        <v>#NUM!</v>
      </c>
      <c r="U105" s="181">
        <f t="shared" si="7"/>
        <v>0</v>
      </c>
      <c r="V105" s="182">
        <f t="shared" si="12"/>
        <v>0</v>
      </c>
      <c r="W105" s="245">
        <f t="shared" si="9"/>
        <v>0</v>
      </c>
      <c r="X105" s="182"/>
    </row>
    <row r="106" spans="2:24">
      <c r="B106" s="214">
        <f t="shared" si="10"/>
        <v>43770</v>
      </c>
      <c r="C106" s="198">
        <f t="shared" si="6"/>
        <v>43739</v>
      </c>
      <c r="D106" s="209">
        <f>IF(B106&lt;'信用保険料計算書（上限2000万）'!$E$15,0,IF(B106&gt;'信用保険料計算書（上限2000万）'!$E$16,0,1))</f>
        <v>0</v>
      </c>
      <c r="E106" s="209">
        <f>IF(D106=1,HLOOKUP(C106,'計算書（第1回）'!$C$123:$U$124,2,TRUE),0)</f>
        <v>0</v>
      </c>
      <c r="F106" s="209">
        <f>IF('信用保険料計算書（上限2000万）'!$G$15="",0,IF($B106&lt;'信用保険料計算書（上限2000万）'!$G$15,0,IF($B106&gt;'信用保険料計算書（上限2000万）'!$G$16,0,1)))</f>
        <v>0</v>
      </c>
      <c r="G106" s="209">
        <f>IF(F106=1,HLOOKUP(C106,'計算書（第2回）'!$C$123:$U$124,2,TRUE),0)</f>
        <v>0</v>
      </c>
      <c r="H106" s="209">
        <f>IF('信用保険料計算書（上限2000万）'!$I$15="",0,IF($B106&lt;'信用保険料計算書（上限2000万）'!$I$15,0,IF($B106&gt;'信用保険料計算書（上限2000万）'!$I$16,0,1)))</f>
        <v>0</v>
      </c>
      <c r="I106" s="209">
        <f>IF(H106=1,HLOOKUP(C106,'計算書（第3回）'!$C$123:$U$124,2,TRUE),0)</f>
        <v>0</v>
      </c>
      <c r="J106" s="209">
        <f>IF('信用保険料計算書（上限2000万）'!$K$15="",0,IF($B106&lt;'信用保険料計算書（上限2000万）'!$K$15,0,IF($B106&gt;'信用保険料計算書（上限2000万）'!$K$16,0,1)))</f>
        <v>0</v>
      </c>
      <c r="K106" s="209">
        <f>IF(J106=1,HLOOKUP(C106,'計算書（第4回）'!$C$123:$U$124,2,TRUE),0)</f>
        <v>0</v>
      </c>
      <c r="L106" s="209">
        <f>IF('信用保険料計算書（上限2000万）'!$M$15="",0,IF($B106&lt;'信用保険料計算書（上限2000万）'!$M$15,0,IF($B106&gt;'信用保険料計算書（上限2000万）'!$M$16,0,1)))</f>
        <v>0</v>
      </c>
      <c r="M106" s="209">
        <f>IF(L106=1,HLOOKUP(C106,'計算書（第5回）'!$C$123:$U$124,2,TRUE),0)</f>
        <v>0</v>
      </c>
      <c r="N106" s="209">
        <f>IF('信用保険料計算書（上限2000万）'!$O$15="",0,IF($B106&lt;'信用保険料計算書（上限2000万）'!$O$15,0,IF($B106&gt;'信用保険料計算書（上限2000万）'!$O$16,0,1)))</f>
        <v>0</v>
      </c>
      <c r="O106" s="209">
        <f>IF(N106=1,HLOOKUP(C106,'計算書（第6回）'!$C$123:$U$124,2,TRUE),0)</f>
        <v>0</v>
      </c>
      <c r="P106" s="209">
        <f>IF('信用保険料計算書（上限2000万）'!$Q$15="",0,IF($B106&lt;'信用保険料計算書（上限2000万）'!$Q$15,0,IF($B106&gt;'信用保険料計算書（上限2000万）'!$Q$16,0,1)))</f>
        <v>0</v>
      </c>
      <c r="Q106" s="209">
        <f>IF(P106=1,HLOOKUP(C106,'計算書（第7回）'!$C$123:$U$124,2,TRUE),0)</f>
        <v>0</v>
      </c>
      <c r="R106" s="213"/>
      <c r="S106" s="211">
        <f>COUNTIF($AB$13:$AB$19,"&lt;=2019/11/1")</f>
        <v>0</v>
      </c>
      <c r="T106" s="178" t="e">
        <f t="shared" si="11"/>
        <v>#NUM!</v>
      </c>
      <c r="U106" s="181">
        <f t="shared" si="7"/>
        <v>0</v>
      </c>
      <c r="V106" s="182">
        <f t="shared" si="12"/>
        <v>0</v>
      </c>
      <c r="W106" s="245">
        <f t="shared" si="9"/>
        <v>0</v>
      </c>
      <c r="X106" s="182"/>
    </row>
    <row r="107" spans="2:24">
      <c r="B107" s="214">
        <f t="shared" si="10"/>
        <v>43800</v>
      </c>
      <c r="C107" s="198">
        <f t="shared" si="6"/>
        <v>43770</v>
      </c>
      <c r="D107" s="209">
        <f>IF(B107&lt;'信用保険料計算書（上限2000万）'!$E$15,0,IF(B107&gt;'信用保険料計算書（上限2000万）'!$E$16,0,1))</f>
        <v>0</v>
      </c>
      <c r="E107" s="209">
        <f>IF(D107=1,HLOOKUP(C107,'計算書（第1回）'!$C$123:$U$124,2,TRUE),0)</f>
        <v>0</v>
      </c>
      <c r="F107" s="209">
        <f>IF('信用保険料計算書（上限2000万）'!$G$15="",0,IF($B107&lt;'信用保険料計算書（上限2000万）'!$G$15,0,IF($B107&gt;'信用保険料計算書（上限2000万）'!$G$16,0,1)))</f>
        <v>0</v>
      </c>
      <c r="G107" s="209">
        <f>IF(F107=1,HLOOKUP(C107,'計算書（第2回）'!$C$123:$U$124,2,TRUE),0)</f>
        <v>0</v>
      </c>
      <c r="H107" s="209">
        <f>IF('信用保険料計算書（上限2000万）'!$I$15="",0,IF($B107&lt;'信用保険料計算書（上限2000万）'!$I$15,0,IF($B107&gt;'信用保険料計算書（上限2000万）'!$I$16,0,1)))</f>
        <v>0</v>
      </c>
      <c r="I107" s="209">
        <f>IF(H107=1,HLOOKUP(C107,'計算書（第3回）'!$C$123:$U$124,2,TRUE),0)</f>
        <v>0</v>
      </c>
      <c r="J107" s="209">
        <f>IF('信用保険料計算書（上限2000万）'!$K$15="",0,IF($B107&lt;'信用保険料計算書（上限2000万）'!$K$15,0,IF($B107&gt;'信用保険料計算書（上限2000万）'!$K$16,0,1)))</f>
        <v>0</v>
      </c>
      <c r="K107" s="209">
        <f>IF(J107=1,HLOOKUP(C107,'計算書（第4回）'!$C$123:$U$124,2,TRUE),0)</f>
        <v>0</v>
      </c>
      <c r="L107" s="209">
        <f>IF('信用保険料計算書（上限2000万）'!$M$15="",0,IF($B107&lt;'信用保険料計算書（上限2000万）'!$M$15,0,IF($B107&gt;'信用保険料計算書（上限2000万）'!$M$16,0,1)))</f>
        <v>0</v>
      </c>
      <c r="M107" s="209">
        <f>IF(L107=1,HLOOKUP(C107,'計算書（第5回）'!$C$123:$U$124,2,TRUE),0)</f>
        <v>0</v>
      </c>
      <c r="N107" s="209">
        <f>IF('信用保険料計算書（上限2000万）'!$O$15="",0,IF($B107&lt;'信用保険料計算書（上限2000万）'!$O$15,0,IF($B107&gt;'信用保険料計算書（上限2000万）'!$O$16,0,1)))</f>
        <v>0</v>
      </c>
      <c r="O107" s="209">
        <f>IF(N107=1,HLOOKUP(C107,'計算書（第6回）'!$C$123:$U$124,2,TRUE),0)</f>
        <v>0</v>
      </c>
      <c r="P107" s="209">
        <f>IF('信用保険料計算書（上限2000万）'!$Q$15="",0,IF($B107&lt;'信用保険料計算書（上限2000万）'!$Q$15,0,IF($B107&gt;'信用保険料計算書（上限2000万）'!$Q$16,0,1)))</f>
        <v>0</v>
      </c>
      <c r="Q107" s="209">
        <f>IF(P107=1,HLOOKUP(C107,'計算書（第7回）'!$C$123:$U$124,2,TRUE),0)</f>
        <v>0</v>
      </c>
      <c r="R107" s="213"/>
      <c r="S107" s="211">
        <f>COUNTIF($AB$13:$AB$19,"&lt;=2019/12/1")</f>
        <v>0</v>
      </c>
      <c r="T107" s="178" t="e">
        <f t="shared" si="11"/>
        <v>#NUM!</v>
      </c>
      <c r="U107" s="181">
        <f t="shared" si="7"/>
        <v>0</v>
      </c>
      <c r="V107" s="182">
        <f t="shared" si="12"/>
        <v>0</v>
      </c>
      <c r="W107" s="245">
        <f t="shared" si="9"/>
        <v>0</v>
      </c>
      <c r="X107" s="182"/>
    </row>
    <row r="108" spans="2:24">
      <c r="B108" s="214">
        <f t="shared" si="10"/>
        <v>43831</v>
      </c>
      <c r="C108" s="198">
        <f t="shared" si="6"/>
        <v>43800</v>
      </c>
      <c r="D108" s="209">
        <f>IF(B108&lt;'信用保険料計算書（上限2000万）'!$E$15,0,IF(B108&gt;'信用保険料計算書（上限2000万）'!$E$16,0,1))</f>
        <v>0</v>
      </c>
      <c r="E108" s="209">
        <f>IF(D108=1,HLOOKUP(C108,'計算書（第1回）'!$C$123:$U$124,2,TRUE),0)</f>
        <v>0</v>
      </c>
      <c r="F108" s="209">
        <f>IF('信用保険料計算書（上限2000万）'!$G$15="",0,IF($B108&lt;'信用保険料計算書（上限2000万）'!$G$15,0,IF($B108&gt;'信用保険料計算書（上限2000万）'!$G$16,0,1)))</f>
        <v>0</v>
      </c>
      <c r="G108" s="209">
        <f>IF(F108=1,HLOOKUP(C108,'計算書（第2回）'!$C$123:$U$124,2,TRUE),0)</f>
        <v>0</v>
      </c>
      <c r="H108" s="209">
        <f>IF('信用保険料計算書（上限2000万）'!$I$15="",0,IF($B108&lt;'信用保険料計算書（上限2000万）'!$I$15,0,IF($B108&gt;'信用保険料計算書（上限2000万）'!$I$16,0,1)))</f>
        <v>0</v>
      </c>
      <c r="I108" s="209">
        <f>IF(H108=1,HLOOKUP(C108,'計算書（第3回）'!$C$123:$U$124,2,TRUE),0)</f>
        <v>0</v>
      </c>
      <c r="J108" s="209">
        <f>IF('信用保険料計算書（上限2000万）'!$K$15="",0,IF($B108&lt;'信用保険料計算書（上限2000万）'!$K$15,0,IF($B108&gt;'信用保険料計算書（上限2000万）'!$K$16,0,1)))</f>
        <v>0</v>
      </c>
      <c r="K108" s="209">
        <f>IF(J108=1,HLOOKUP(C108,'計算書（第4回）'!$C$123:$U$124,2,TRUE),0)</f>
        <v>0</v>
      </c>
      <c r="L108" s="209">
        <f>IF('信用保険料計算書（上限2000万）'!$M$15="",0,IF($B108&lt;'信用保険料計算書（上限2000万）'!$M$15,0,IF($B108&gt;'信用保険料計算書（上限2000万）'!$M$16,0,1)))</f>
        <v>0</v>
      </c>
      <c r="M108" s="209">
        <f>IF(L108=1,HLOOKUP(C108,'計算書（第5回）'!$C$123:$U$124,2,TRUE),0)</f>
        <v>0</v>
      </c>
      <c r="N108" s="209">
        <f>IF('信用保険料計算書（上限2000万）'!$O$15="",0,IF($B108&lt;'信用保険料計算書（上限2000万）'!$O$15,0,IF($B108&gt;'信用保険料計算書（上限2000万）'!$O$16,0,1)))</f>
        <v>0</v>
      </c>
      <c r="O108" s="209">
        <f>IF(N108=1,HLOOKUP(C108,'計算書（第6回）'!$C$123:$U$124,2,TRUE),0)</f>
        <v>0</v>
      </c>
      <c r="P108" s="209">
        <f>IF('信用保険料計算書（上限2000万）'!$Q$15="",0,IF($B108&lt;'信用保険料計算書（上限2000万）'!$Q$15,0,IF($B108&gt;'信用保険料計算書（上限2000万）'!$Q$16,0,1)))</f>
        <v>0</v>
      </c>
      <c r="Q108" s="209">
        <f>IF(P108=1,HLOOKUP(C108,'計算書（第7回）'!$C$123:$U$124,2,TRUE),0)</f>
        <v>0</v>
      </c>
      <c r="R108" s="212"/>
      <c r="S108" s="211">
        <f>COUNTIF($AB$13:$AB$19,"&lt;=2020/1/1")</f>
        <v>0</v>
      </c>
      <c r="T108" s="178" t="e">
        <f t="shared" si="11"/>
        <v>#NUM!</v>
      </c>
      <c r="U108" s="181">
        <f t="shared" si="7"/>
        <v>0</v>
      </c>
      <c r="V108" s="182">
        <f t="shared" si="12"/>
        <v>0</v>
      </c>
      <c r="W108" s="245">
        <f t="shared" si="9"/>
        <v>0</v>
      </c>
      <c r="X108" s="182"/>
    </row>
    <row r="109" spans="2:24">
      <c r="B109" s="214">
        <f t="shared" si="10"/>
        <v>43862</v>
      </c>
      <c r="C109" s="198">
        <f t="shared" si="6"/>
        <v>43831</v>
      </c>
      <c r="D109" s="209">
        <f>IF(B109&lt;'信用保険料計算書（上限2000万）'!$E$15,0,IF(B109&gt;'信用保険料計算書（上限2000万）'!$E$16,0,1))</f>
        <v>0</v>
      </c>
      <c r="E109" s="209">
        <f>IF(D109=1,HLOOKUP(C109,'計算書（第1回）'!$C$123:$U$124,2,TRUE),0)</f>
        <v>0</v>
      </c>
      <c r="F109" s="209">
        <f>IF('信用保険料計算書（上限2000万）'!$G$15="",0,IF($B109&lt;'信用保険料計算書（上限2000万）'!$G$15,0,IF($B109&gt;'信用保険料計算書（上限2000万）'!$G$16,0,1)))</f>
        <v>0</v>
      </c>
      <c r="G109" s="209">
        <f>IF(F109=1,HLOOKUP(C109,'計算書（第2回）'!$C$123:$U$124,2,TRUE),0)</f>
        <v>0</v>
      </c>
      <c r="H109" s="209">
        <f>IF('信用保険料計算書（上限2000万）'!$I$15="",0,IF($B109&lt;'信用保険料計算書（上限2000万）'!$I$15,0,IF($B109&gt;'信用保険料計算書（上限2000万）'!$I$16,0,1)))</f>
        <v>0</v>
      </c>
      <c r="I109" s="209">
        <f>IF(H109=1,HLOOKUP(C109,'計算書（第3回）'!$C$123:$U$124,2,TRUE),0)</f>
        <v>0</v>
      </c>
      <c r="J109" s="209">
        <f>IF('信用保険料計算書（上限2000万）'!$K$15="",0,IF($B109&lt;'信用保険料計算書（上限2000万）'!$K$15,0,IF($B109&gt;'信用保険料計算書（上限2000万）'!$K$16,0,1)))</f>
        <v>0</v>
      </c>
      <c r="K109" s="209">
        <f>IF(J109=1,HLOOKUP(C109,'計算書（第4回）'!$C$123:$U$124,2,TRUE),0)</f>
        <v>0</v>
      </c>
      <c r="L109" s="209">
        <f>IF('信用保険料計算書（上限2000万）'!$M$15="",0,IF($B109&lt;'信用保険料計算書（上限2000万）'!$M$15,0,IF($B109&gt;'信用保険料計算書（上限2000万）'!$M$16,0,1)))</f>
        <v>0</v>
      </c>
      <c r="M109" s="209">
        <f>IF(L109=1,HLOOKUP(C109,'計算書（第5回）'!$C$123:$U$124,2,TRUE),0)</f>
        <v>0</v>
      </c>
      <c r="N109" s="209">
        <f>IF('信用保険料計算書（上限2000万）'!$O$15="",0,IF($B109&lt;'信用保険料計算書（上限2000万）'!$O$15,0,IF($B109&gt;'信用保険料計算書（上限2000万）'!$O$16,0,1)))</f>
        <v>0</v>
      </c>
      <c r="O109" s="209">
        <f>IF(N109=1,HLOOKUP(C109,'計算書（第6回）'!$C$123:$U$124,2,TRUE),0)</f>
        <v>0</v>
      </c>
      <c r="P109" s="209">
        <f>IF('信用保険料計算書（上限2000万）'!$Q$15="",0,IF($B109&lt;'信用保険料計算書（上限2000万）'!$Q$15,0,IF($B109&gt;'信用保険料計算書（上限2000万）'!$Q$16,0,1)))</f>
        <v>0</v>
      </c>
      <c r="Q109" s="209">
        <f>IF(P109=1,HLOOKUP(C109,'計算書（第7回）'!$C$123:$U$124,2,TRUE),0)</f>
        <v>0</v>
      </c>
      <c r="R109" s="212"/>
      <c r="S109" s="211">
        <f>COUNTIF($AB$13:$AB$19,"&lt;=2020/2/1")</f>
        <v>0</v>
      </c>
      <c r="T109" s="178" t="e">
        <f t="shared" si="11"/>
        <v>#NUM!</v>
      </c>
      <c r="U109" s="181">
        <f t="shared" si="7"/>
        <v>0</v>
      </c>
      <c r="V109" s="182">
        <f t="shared" si="12"/>
        <v>0</v>
      </c>
      <c r="W109" s="245">
        <f t="shared" si="9"/>
        <v>0</v>
      </c>
      <c r="X109" s="182"/>
    </row>
    <row r="110" spans="2:24">
      <c r="B110" s="214">
        <f t="shared" si="10"/>
        <v>43891</v>
      </c>
      <c r="C110" s="198">
        <f t="shared" si="6"/>
        <v>43862</v>
      </c>
      <c r="D110" s="209">
        <f>IF(B110&lt;'信用保険料計算書（上限2000万）'!$E$15,0,IF(B110&gt;'信用保険料計算書（上限2000万）'!$E$16,0,1))</f>
        <v>0</v>
      </c>
      <c r="E110" s="209">
        <f>IF(D110=1,HLOOKUP(C110,'計算書（第1回）'!$C$123:$U$124,2,TRUE),0)</f>
        <v>0</v>
      </c>
      <c r="F110" s="209">
        <f>IF('信用保険料計算書（上限2000万）'!$G$15="",0,IF($B110&lt;'信用保険料計算書（上限2000万）'!$G$15,0,IF($B110&gt;'信用保険料計算書（上限2000万）'!$G$16,0,1)))</f>
        <v>0</v>
      </c>
      <c r="G110" s="209">
        <f>IF(F110=1,HLOOKUP(C110,'計算書（第2回）'!$C$123:$U$124,2,TRUE),0)</f>
        <v>0</v>
      </c>
      <c r="H110" s="209">
        <f>IF('信用保険料計算書（上限2000万）'!$I$15="",0,IF($B110&lt;'信用保険料計算書（上限2000万）'!$I$15,0,IF($B110&gt;'信用保険料計算書（上限2000万）'!$I$16,0,1)))</f>
        <v>0</v>
      </c>
      <c r="I110" s="209">
        <f>IF(H110=1,HLOOKUP(C110,'計算書（第3回）'!$C$123:$U$124,2,TRUE),0)</f>
        <v>0</v>
      </c>
      <c r="J110" s="209">
        <f>IF('信用保険料計算書（上限2000万）'!$K$15="",0,IF($B110&lt;'信用保険料計算書（上限2000万）'!$K$15,0,IF($B110&gt;'信用保険料計算書（上限2000万）'!$K$16,0,1)))</f>
        <v>0</v>
      </c>
      <c r="K110" s="209">
        <f>IF(J110=1,HLOOKUP(C110,'計算書（第4回）'!$C$123:$U$124,2,TRUE),0)</f>
        <v>0</v>
      </c>
      <c r="L110" s="209">
        <f>IF('信用保険料計算書（上限2000万）'!$M$15="",0,IF($B110&lt;'信用保険料計算書（上限2000万）'!$M$15,0,IF($B110&gt;'信用保険料計算書（上限2000万）'!$M$16,0,1)))</f>
        <v>0</v>
      </c>
      <c r="M110" s="209">
        <f>IF(L110=1,HLOOKUP(C110,'計算書（第5回）'!$C$123:$U$124,2,TRUE),0)</f>
        <v>0</v>
      </c>
      <c r="N110" s="209">
        <f>IF('信用保険料計算書（上限2000万）'!$O$15="",0,IF($B110&lt;'信用保険料計算書（上限2000万）'!$O$15,0,IF($B110&gt;'信用保険料計算書（上限2000万）'!$O$16,0,1)))</f>
        <v>0</v>
      </c>
      <c r="O110" s="209">
        <f>IF(N110=1,HLOOKUP(C110,'計算書（第6回）'!$C$123:$U$124,2,TRUE),0)</f>
        <v>0</v>
      </c>
      <c r="P110" s="209">
        <f>IF('信用保険料計算書（上限2000万）'!$Q$15="",0,IF($B110&lt;'信用保険料計算書（上限2000万）'!$Q$15,0,IF($B110&gt;'信用保険料計算書（上限2000万）'!$Q$16,0,1)))</f>
        <v>0</v>
      </c>
      <c r="Q110" s="209">
        <f>IF(P110=1,HLOOKUP(C110,'計算書（第7回）'!$C$123:$U$124,2,TRUE),0)</f>
        <v>0</v>
      </c>
      <c r="R110" s="212"/>
      <c r="S110" s="211">
        <f>COUNTIF($AB$13:$AB$19,"&lt;=2020/3/1")</f>
        <v>0</v>
      </c>
      <c r="T110" s="178" t="e">
        <f t="shared" si="11"/>
        <v>#NUM!</v>
      </c>
      <c r="U110" s="181">
        <f t="shared" si="7"/>
        <v>0</v>
      </c>
      <c r="V110" s="182">
        <f t="shared" si="12"/>
        <v>0</v>
      </c>
      <c r="W110" s="245">
        <f t="shared" si="9"/>
        <v>0</v>
      </c>
      <c r="X110" s="183">
        <f>INT(SUM(W105:W110))</f>
        <v>0</v>
      </c>
    </row>
    <row r="111" spans="2:24">
      <c r="B111" s="214">
        <f t="shared" si="10"/>
        <v>43922</v>
      </c>
      <c r="C111" s="198">
        <f t="shared" si="6"/>
        <v>43891</v>
      </c>
      <c r="D111" s="209">
        <f>IF(B111&lt;'信用保険料計算書（上限2000万）'!$E$15,0,IF(B111&gt;'信用保険料計算書（上限2000万）'!$E$16,0,1))</f>
        <v>0</v>
      </c>
      <c r="E111" s="209">
        <f>IF(D111=1,HLOOKUP(C111,'計算書（第1回）'!$C$123:$U$124,2,TRUE),0)</f>
        <v>0</v>
      </c>
      <c r="F111" s="209">
        <f>IF('信用保険料計算書（上限2000万）'!$G$15="",0,IF($B111&lt;'信用保険料計算書（上限2000万）'!$G$15,0,IF($B111&gt;'信用保険料計算書（上限2000万）'!$G$16,0,1)))</f>
        <v>0</v>
      </c>
      <c r="G111" s="209">
        <f>IF(F111=1,HLOOKUP(C111,'計算書（第2回）'!$C$123:$U$124,2,TRUE),0)</f>
        <v>0</v>
      </c>
      <c r="H111" s="209">
        <f>IF('信用保険料計算書（上限2000万）'!$I$15="",0,IF($B111&lt;'信用保険料計算書（上限2000万）'!$I$15,0,IF($B111&gt;'信用保険料計算書（上限2000万）'!$I$16,0,1)))</f>
        <v>0</v>
      </c>
      <c r="I111" s="209">
        <f>IF(H111=1,HLOOKUP(C111,'計算書（第3回）'!$C$123:$U$124,2,TRUE),0)</f>
        <v>0</v>
      </c>
      <c r="J111" s="209">
        <f>IF('信用保険料計算書（上限2000万）'!$K$15="",0,IF($B111&lt;'信用保険料計算書（上限2000万）'!$K$15,0,IF($B111&gt;'信用保険料計算書（上限2000万）'!$K$16,0,1)))</f>
        <v>0</v>
      </c>
      <c r="K111" s="209">
        <f>IF(J111=1,HLOOKUP(C111,'計算書（第4回）'!$C$123:$U$124,2,TRUE),0)</f>
        <v>0</v>
      </c>
      <c r="L111" s="209">
        <f>IF('信用保険料計算書（上限2000万）'!$M$15="",0,IF($B111&lt;'信用保険料計算書（上限2000万）'!$M$15,0,IF($B111&gt;'信用保険料計算書（上限2000万）'!$M$16,0,1)))</f>
        <v>0</v>
      </c>
      <c r="M111" s="209">
        <f>IF(L111=1,HLOOKUP(C111,'計算書（第5回）'!$C$123:$U$124,2,TRUE),0)</f>
        <v>0</v>
      </c>
      <c r="N111" s="209">
        <f>IF('信用保険料計算書（上限2000万）'!$O$15="",0,IF($B111&lt;'信用保険料計算書（上限2000万）'!$O$15,0,IF($B111&gt;'信用保険料計算書（上限2000万）'!$O$16,0,1)))</f>
        <v>0</v>
      </c>
      <c r="O111" s="209">
        <f>IF(N111=1,HLOOKUP(C111,'計算書（第6回）'!$C$123:$U$124,2,TRUE),0)</f>
        <v>0</v>
      </c>
      <c r="P111" s="209">
        <f>IF('信用保険料計算書（上限2000万）'!$Q$15="",0,IF($B111&lt;'信用保険料計算書（上限2000万）'!$Q$15,0,IF($B111&gt;'信用保険料計算書（上限2000万）'!$Q$16,0,1)))</f>
        <v>0</v>
      </c>
      <c r="Q111" s="209">
        <f>IF(P111=1,HLOOKUP(C111,'計算書（第7回）'!$C$123:$U$124,2,TRUE),0)</f>
        <v>0</v>
      </c>
      <c r="R111" s="212"/>
      <c r="S111" s="211">
        <f>COUNTIF($AB$13:$AB$19,"&lt;=2020/4/1")</f>
        <v>0</v>
      </c>
      <c r="T111" s="178" t="e">
        <f t="shared" si="11"/>
        <v>#NUM!</v>
      </c>
      <c r="U111" s="181">
        <f t="shared" si="7"/>
        <v>0</v>
      </c>
      <c r="V111" s="182">
        <f t="shared" si="12"/>
        <v>0</v>
      </c>
      <c r="W111" s="245">
        <f t="shared" si="9"/>
        <v>0</v>
      </c>
      <c r="X111" s="182"/>
    </row>
    <row r="112" spans="2:24">
      <c r="B112" s="214">
        <f t="shared" si="10"/>
        <v>43952</v>
      </c>
      <c r="C112" s="198">
        <f t="shared" si="6"/>
        <v>43922</v>
      </c>
      <c r="D112" s="209">
        <f>IF(B112&lt;'信用保険料計算書（上限2000万）'!$E$15,0,IF(B112&gt;'信用保険料計算書（上限2000万）'!$E$16,0,1))</f>
        <v>0</v>
      </c>
      <c r="E112" s="209">
        <f>IF(D112=1,HLOOKUP(C112,'計算書（第1回）'!$C$123:$U$124,2,TRUE),0)</f>
        <v>0</v>
      </c>
      <c r="F112" s="209">
        <f>IF('信用保険料計算書（上限2000万）'!$G$15="",0,IF($B112&lt;'信用保険料計算書（上限2000万）'!$G$15,0,IF($B112&gt;'信用保険料計算書（上限2000万）'!$G$16,0,1)))</f>
        <v>0</v>
      </c>
      <c r="G112" s="209">
        <f>IF(F112=1,HLOOKUP(C112,'計算書（第2回）'!$C$123:$U$124,2,TRUE),0)</f>
        <v>0</v>
      </c>
      <c r="H112" s="209">
        <f>IF('信用保険料計算書（上限2000万）'!$I$15="",0,IF($B112&lt;'信用保険料計算書（上限2000万）'!$I$15,0,IF($B112&gt;'信用保険料計算書（上限2000万）'!$I$16,0,1)))</f>
        <v>0</v>
      </c>
      <c r="I112" s="209">
        <f>IF(H112=1,HLOOKUP(C112,'計算書（第3回）'!$C$123:$U$124,2,TRUE),0)</f>
        <v>0</v>
      </c>
      <c r="J112" s="209">
        <f>IF('信用保険料計算書（上限2000万）'!$K$15="",0,IF($B112&lt;'信用保険料計算書（上限2000万）'!$K$15,0,IF($B112&gt;'信用保険料計算書（上限2000万）'!$K$16,0,1)))</f>
        <v>0</v>
      </c>
      <c r="K112" s="209">
        <f>IF(J112=1,HLOOKUP(C112,'計算書（第4回）'!$C$123:$U$124,2,TRUE),0)</f>
        <v>0</v>
      </c>
      <c r="L112" s="209">
        <f>IF('信用保険料計算書（上限2000万）'!$M$15="",0,IF($B112&lt;'信用保険料計算書（上限2000万）'!$M$15,0,IF($B112&gt;'信用保険料計算書（上限2000万）'!$M$16,0,1)))</f>
        <v>0</v>
      </c>
      <c r="M112" s="209">
        <f>IF(L112=1,HLOOKUP(C112,'計算書（第5回）'!$C$123:$U$124,2,TRUE),0)</f>
        <v>0</v>
      </c>
      <c r="N112" s="209">
        <f>IF('信用保険料計算書（上限2000万）'!$O$15="",0,IF($B112&lt;'信用保険料計算書（上限2000万）'!$O$15,0,IF($B112&gt;'信用保険料計算書（上限2000万）'!$O$16,0,1)))</f>
        <v>0</v>
      </c>
      <c r="O112" s="209">
        <f>IF(N112=1,HLOOKUP(C112,'計算書（第6回）'!$C$123:$U$124,2,TRUE),0)</f>
        <v>0</v>
      </c>
      <c r="P112" s="209">
        <f>IF('信用保険料計算書（上限2000万）'!$Q$15="",0,IF($B112&lt;'信用保険料計算書（上限2000万）'!$Q$15,0,IF($B112&gt;'信用保険料計算書（上限2000万）'!$Q$16,0,1)))</f>
        <v>0</v>
      </c>
      <c r="Q112" s="209">
        <f>IF(P112=1,HLOOKUP(C112,'計算書（第7回）'!$C$123:$U$124,2,TRUE),0)</f>
        <v>0</v>
      </c>
      <c r="R112" s="212"/>
      <c r="S112" s="211">
        <f>COUNTIF($AB$13:$AB$19,"&lt;=2020/5/1")</f>
        <v>0</v>
      </c>
      <c r="T112" s="178" t="e">
        <f t="shared" si="11"/>
        <v>#NUM!</v>
      </c>
      <c r="U112" s="181">
        <f t="shared" si="7"/>
        <v>0</v>
      </c>
      <c r="V112" s="182">
        <f t="shared" si="12"/>
        <v>0</v>
      </c>
      <c r="W112" s="245">
        <f t="shared" si="9"/>
        <v>0</v>
      </c>
      <c r="X112" s="182"/>
    </row>
    <row r="113" spans="2:24">
      <c r="B113" s="214">
        <f t="shared" si="10"/>
        <v>43983</v>
      </c>
      <c r="C113" s="198">
        <f t="shared" si="6"/>
        <v>43952</v>
      </c>
      <c r="D113" s="209">
        <f>IF(B113&lt;'信用保険料計算書（上限2000万）'!$E$15,0,IF(B113&gt;'信用保険料計算書（上限2000万）'!$E$16,0,1))</f>
        <v>0</v>
      </c>
      <c r="E113" s="209">
        <f>IF(D113=1,HLOOKUP(C113,'計算書（第1回）'!$C$123:$U$124,2,TRUE),0)</f>
        <v>0</v>
      </c>
      <c r="F113" s="209">
        <f>IF('信用保険料計算書（上限2000万）'!$G$15="",0,IF($B113&lt;'信用保険料計算書（上限2000万）'!$G$15,0,IF($B113&gt;'信用保険料計算書（上限2000万）'!$G$16,0,1)))</f>
        <v>0</v>
      </c>
      <c r="G113" s="209">
        <f>IF(F113=1,HLOOKUP(C113,'計算書（第2回）'!$C$123:$U$124,2,TRUE),0)</f>
        <v>0</v>
      </c>
      <c r="H113" s="209">
        <f>IF('信用保険料計算書（上限2000万）'!$I$15="",0,IF($B113&lt;'信用保険料計算書（上限2000万）'!$I$15,0,IF($B113&gt;'信用保険料計算書（上限2000万）'!$I$16,0,1)))</f>
        <v>0</v>
      </c>
      <c r="I113" s="209">
        <f>IF(H113=1,HLOOKUP(C113,'計算書（第3回）'!$C$123:$U$124,2,TRUE),0)</f>
        <v>0</v>
      </c>
      <c r="J113" s="209">
        <f>IF('信用保険料計算書（上限2000万）'!$K$15="",0,IF($B113&lt;'信用保険料計算書（上限2000万）'!$K$15,0,IF($B113&gt;'信用保険料計算書（上限2000万）'!$K$16,0,1)))</f>
        <v>0</v>
      </c>
      <c r="K113" s="209">
        <f>IF(J113=1,HLOOKUP(C113,'計算書（第4回）'!$C$123:$U$124,2,TRUE),0)</f>
        <v>0</v>
      </c>
      <c r="L113" s="209">
        <f>IF('信用保険料計算書（上限2000万）'!$M$15="",0,IF($B113&lt;'信用保険料計算書（上限2000万）'!$M$15,0,IF($B113&gt;'信用保険料計算書（上限2000万）'!$M$16,0,1)))</f>
        <v>0</v>
      </c>
      <c r="M113" s="209">
        <f>IF(L113=1,HLOOKUP(C113,'計算書（第5回）'!$C$123:$U$124,2,TRUE),0)</f>
        <v>0</v>
      </c>
      <c r="N113" s="209">
        <f>IF('信用保険料計算書（上限2000万）'!$O$15="",0,IF($B113&lt;'信用保険料計算書（上限2000万）'!$O$15,0,IF($B113&gt;'信用保険料計算書（上限2000万）'!$O$16,0,1)))</f>
        <v>0</v>
      </c>
      <c r="O113" s="209">
        <f>IF(N113=1,HLOOKUP(C113,'計算書（第6回）'!$C$123:$U$124,2,TRUE),0)</f>
        <v>0</v>
      </c>
      <c r="P113" s="209">
        <f>IF('信用保険料計算書（上限2000万）'!$Q$15="",0,IF($B113&lt;'信用保険料計算書（上限2000万）'!$Q$15,0,IF($B113&gt;'信用保険料計算書（上限2000万）'!$Q$16,0,1)))</f>
        <v>0</v>
      </c>
      <c r="Q113" s="209">
        <f>IF(P113=1,HLOOKUP(C113,'計算書（第7回）'!$C$123:$U$124,2,TRUE),0)</f>
        <v>0</v>
      </c>
      <c r="R113" s="212"/>
      <c r="S113" s="211">
        <f>COUNTIF($AB$13:$AB$19,"&lt;=2020/6/1")</f>
        <v>0</v>
      </c>
      <c r="T113" s="178" t="e">
        <f t="shared" si="11"/>
        <v>#NUM!</v>
      </c>
      <c r="U113" s="181">
        <f t="shared" si="7"/>
        <v>0</v>
      </c>
      <c r="V113" s="182">
        <f t="shared" si="12"/>
        <v>0</v>
      </c>
      <c r="W113" s="245">
        <f t="shared" si="9"/>
        <v>0</v>
      </c>
      <c r="X113" s="182"/>
    </row>
    <row r="114" spans="2:24">
      <c r="B114" s="214">
        <f t="shared" si="10"/>
        <v>44013</v>
      </c>
      <c r="C114" s="198">
        <f t="shared" si="6"/>
        <v>43983</v>
      </c>
      <c r="D114" s="209">
        <f>IF(B114&lt;'信用保険料計算書（上限2000万）'!$E$15,0,IF(B114&gt;'信用保険料計算書（上限2000万）'!$E$16,0,1))</f>
        <v>0</v>
      </c>
      <c r="E114" s="209">
        <f>IF(D114=1,HLOOKUP(C114,'計算書（第1回）'!$C$123:$U$124,2,TRUE),0)</f>
        <v>0</v>
      </c>
      <c r="F114" s="209">
        <f>IF('信用保険料計算書（上限2000万）'!$G$15="",0,IF($B114&lt;'信用保険料計算書（上限2000万）'!$G$15,0,IF($B114&gt;'信用保険料計算書（上限2000万）'!$G$16,0,1)))</f>
        <v>0</v>
      </c>
      <c r="G114" s="209">
        <f>IF(F114=1,HLOOKUP(C114,'計算書（第2回）'!$C$123:$U$124,2,TRUE),0)</f>
        <v>0</v>
      </c>
      <c r="H114" s="209">
        <f>IF('信用保険料計算書（上限2000万）'!$I$15="",0,IF($B114&lt;'信用保険料計算書（上限2000万）'!$I$15,0,IF($B114&gt;'信用保険料計算書（上限2000万）'!$I$16,0,1)))</f>
        <v>0</v>
      </c>
      <c r="I114" s="209">
        <f>IF(H114=1,HLOOKUP(C114,'計算書（第3回）'!$C$123:$U$124,2,TRUE),0)</f>
        <v>0</v>
      </c>
      <c r="J114" s="209">
        <f>IF('信用保険料計算書（上限2000万）'!$K$15="",0,IF($B114&lt;'信用保険料計算書（上限2000万）'!$K$15,0,IF($B114&gt;'信用保険料計算書（上限2000万）'!$K$16,0,1)))</f>
        <v>0</v>
      </c>
      <c r="K114" s="209">
        <f>IF(J114=1,HLOOKUP(C114,'計算書（第4回）'!$C$123:$U$124,2,TRUE),0)</f>
        <v>0</v>
      </c>
      <c r="L114" s="209">
        <f>IF('信用保険料計算書（上限2000万）'!$M$15="",0,IF($B114&lt;'信用保険料計算書（上限2000万）'!$M$15,0,IF($B114&gt;'信用保険料計算書（上限2000万）'!$M$16,0,1)))</f>
        <v>0</v>
      </c>
      <c r="M114" s="209">
        <f>IF(L114=1,HLOOKUP(C114,'計算書（第5回）'!$C$123:$U$124,2,TRUE),0)</f>
        <v>0</v>
      </c>
      <c r="N114" s="209">
        <f>IF('信用保険料計算書（上限2000万）'!$O$15="",0,IF($B114&lt;'信用保険料計算書（上限2000万）'!$O$15,0,IF($B114&gt;'信用保険料計算書（上限2000万）'!$O$16,0,1)))</f>
        <v>0</v>
      </c>
      <c r="O114" s="209">
        <f>IF(N114=1,HLOOKUP(C114,'計算書（第6回）'!$C$123:$U$124,2,TRUE),0)</f>
        <v>0</v>
      </c>
      <c r="P114" s="209">
        <f>IF('信用保険料計算書（上限2000万）'!$Q$15="",0,IF($B114&lt;'信用保険料計算書（上限2000万）'!$Q$15,0,IF($B114&gt;'信用保険料計算書（上限2000万）'!$Q$16,0,1)))</f>
        <v>0</v>
      </c>
      <c r="Q114" s="209">
        <f>IF(P114=1,HLOOKUP(C114,'計算書（第7回）'!$C$123:$U$124,2,TRUE),0)</f>
        <v>0</v>
      </c>
      <c r="R114" s="212"/>
      <c r="S114" s="211">
        <f>COUNTIF($AB$13:$AB$19,"&lt;=2020/7/1")</f>
        <v>0</v>
      </c>
      <c r="T114" s="178" t="e">
        <f t="shared" si="11"/>
        <v>#NUM!</v>
      </c>
      <c r="U114" s="181">
        <f t="shared" si="7"/>
        <v>0</v>
      </c>
      <c r="V114" s="182">
        <f t="shared" si="12"/>
        <v>0</v>
      </c>
      <c r="W114" s="245">
        <f t="shared" si="9"/>
        <v>0</v>
      </c>
      <c r="X114" s="182"/>
    </row>
    <row r="115" spans="2:24">
      <c r="B115" s="214">
        <f t="shared" si="10"/>
        <v>44044</v>
      </c>
      <c r="C115" s="198">
        <f t="shared" si="6"/>
        <v>44013</v>
      </c>
      <c r="D115" s="209">
        <f>IF(B115&lt;'信用保険料計算書（上限2000万）'!$E$15,0,IF(B115&gt;'信用保険料計算書（上限2000万）'!$E$16,0,1))</f>
        <v>0</v>
      </c>
      <c r="E115" s="209">
        <f>IF(D115=1,HLOOKUP(C115,'計算書（第1回）'!$C$123:$U$124,2,TRUE),0)</f>
        <v>0</v>
      </c>
      <c r="F115" s="209">
        <f>IF('信用保険料計算書（上限2000万）'!$G$15="",0,IF($B115&lt;'信用保険料計算書（上限2000万）'!$G$15,0,IF($B115&gt;'信用保険料計算書（上限2000万）'!$G$16,0,1)))</f>
        <v>0</v>
      </c>
      <c r="G115" s="209">
        <f>IF(F115=1,HLOOKUP(C115,'計算書（第2回）'!$C$123:$U$124,2,TRUE),0)</f>
        <v>0</v>
      </c>
      <c r="H115" s="209">
        <f>IF('信用保険料計算書（上限2000万）'!$I$15="",0,IF($B115&lt;'信用保険料計算書（上限2000万）'!$I$15,0,IF($B115&gt;'信用保険料計算書（上限2000万）'!$I$16,0,1)))</f>
        <v>0</v>
      </c>
      <c r="I115" s="209">
        <f>IF(H115=1,HLOOKUP(C115,'計算書（第3回）'!$C$123:$U$124,2,TRUE),0)</f>
        <v>0</v>
      </c>
      <c r="J115" s="209">
        <f>IF('信用保険料計算書（上限2000万）'!$K$15="",0,IF($B115&lt;'信用保険料計算書（上限2000万）'!$K$15,0,IF($B115&gt;'信用保険料計算書（上限2000万）'!$K$16,0,1)))</f>
        <v>0</v>
      </c>
      <c r="K115" s="209">
        <f>IF(J115=1,HLOOKUP(C115,'計算書（第4回）'!$C$123:$U$124,2,TRUE),0)</f>
        <v>0</v>
      </c>
      <c r="L115" s="209">
        <f>IF('信用保険料計算書（上限2000万）'!$M$15="",0,IF($B115&lt;'信用保険料計算書（上限2000万）'!$M$15,0,IF($B115&gt;'信用保険料計算書（上限2000万）'!$M$16,0,1)))</f>
        <v>0</v>
      </c>
      <c r="M115" s="209">
        <f>IF(L115=1,HLOOKUP(C115,'計算書（第5回）'!$C$123:$U$124,2,TRUE),0)</f>
        <v>0</v>
      </c>
      <c r="N115" s="209">
        <f>IF('信用保険料計算書（上限2000万）'!$O$15="",0,IF($B115&lt;'信用保険料計算書（上限2000万）'!$O$15,0,IF($B115&gt;'信用保険料計算書（上限2000万）'!$O$16,0,1)))</f>
        <v>0</v>
      </c>
      <c r="O115" s="209">
        <f>IF(N115=1,HLOOKUP(C115,'計算書（第6回）'!$C$123:$U$124,2,TRUE),0)</f>
        <v>0</v>
      </c>
      <c r="P115" s="209">
        <f>IF('信用保険料計算書（上限2000万）'!$Q$15="",0,IF($B115&lt;'信用保険料計算書（上限2000万）'!$Q$15,0,IF($B115&gt;'信用保険料計算書（上限2000万）'!$Q$16,0,1)))</f>
        <v>0</v>
      </c>
      <c r="Q115" s="209">
        <f>IF(P115=1,HLOOKUP(C115,'計算書（第7回）'!$C$123:$U$124,2,TRUE),0)</f>
        <v>0</v>
      </c>
      <c r="R115" s="212"/>
      <c r="S115" s="211">
        <f>COUNTIF($AB$13:$AB$19,"&lt;=2020/8/1")</f>
        <v>0</v>
      </c>
      <c r="T115" s="178" t="e">
        <f t="shared" si="11"/>
        <v>#NUM!</v>
      </c>
      <c r="U115" s="181">
        <f t="shared" si="7"/>
        <v>0</v>
      </c>
      <c r="V115" s="182">
        <f t="shared" si="12"/>
        <v>0</v>
      </c>
      <c r="W115" s="245">
        <f t="shared" si="9"/>
        <v>0</v>
      </c>
      <c r="X115" s="182"/>
    </row>
    <row r="116" spans="2:24">
      <c r="B116" s="214">
        <f t="shared" si="10"/>
        <v>44075</v>
      </c>
      <c r="C116" s="198">
        <f t="shared" si="6"/>
        <v>44044</v>
      </c>
      <c r="D116" s="209">
        <f>IF(B116&lt;'信用保険料計算書（上限2000万）'!$E$15,0,IF(B116&gt;'信用保険料計算書（上限2000万）'!$E$16,0,1))</f>
        <v>0</v>
      </c>
      <c r="E116" s="209">
        <f>IF(D116=1,HLOOKUP(C116,'計算書（第1回）'!$C$123:$U$124,2,TRUE),0)</f>
        <v>0</v>
      </c>
      <c r="F116" s="209">
        <f>IF('信用保険料計算書（上限2000万）'!$G$15="",0,IF($B116&lt;'信用保険料計算書（上限2000万）'!$G$15,0,IF($B116&gt;'信用保険料計算書（上限2000万）'!$G$16,0,1)))</f>
        <v>0</v>
      </c>
      <c r="G116" s="209">
        <f>IF(F116=1,HLOOKUP(C116,'計算書（第2回）'!$C$123:$U$124,2,TRUE),0)</f>
        <v>0</v>
      </c>
      <c r="H116" s="209">
        <f>IF('信用保険料計算書（上限2000万）'!$I$15="",0,IF($B116&lt;'信用保険料計算書（上限2000万）'!$I$15,0,IF($B116&gt;'信用保険料計算書（上限2000万）'!$I$16,0,1)))</f>
        <v>0</v>
      </c>
      <c r="I116" s="209">
        <f>IF(H116=1,HLOOKUP(C116,'計算書（第3回）'!$C$123:$U$124,2,TRUE),0)</f>
        <v>0</v>
      </c>
      <c r="J116" s="209">
        <f>IF('信用保険料計算書（上限2000万）'!$K$15="",0,IF($B116&lt;'信用保険料計算書（上限2000万）'!$K$15,0,IF($B116&gt;'信用保険料計算書（上限2000万）'!$K$16,0,1)))</f>
        <v>0</v>
      </c>
      <c r="K116" s="209">
        <f>IF(J116=1,HLOOKUP(C116,'計算書（第4回）'!$C$123:$U$124,2,TRUE),0)</f>
        <v>0</v>
      </c>
      <c r="L116" s="209">
        <f>IF('信用保険料計算書（上限2000万）'!$M$15="",0,IF($B116&lt;'信用保険料計算書（上限2000万）'!$M$15,0,IF($B116&gt;'信用保険料計算書（上限2000万）'!$M$16,0,1)))</f>
        <v>0</v>
      </c>
      <c r="M116" s="209">
        <f>IF(L116=1,HLOOKUP(C116,'計算書（第5回）'!$C$123:$U$124,2,TRUE),0)</f>
        <v>0</v>
      </c>
      <c r="N116" s="209">
        <f>IF('信用保険料計算書（上限2000万）'!$O$15="",0,IF($B116&lt;'信用保険料計算書（上限2000万）'!$O$15,0,IF($B116&gt;'信用保険料計算書（上限2000万）'!$O$16,0,1)))</f>
        <v>0</v>
      </c>
      <c r="O116" s="209">
        <f>IF(N116=1,HLOOKUP(C116,'計算書（第6回）'!$C$123:$U$124,2,TRUE),0)</f>
        <v>0</v>
      </c>
      <c r="P116" s="209">
        <f>IF('信用保険料計算書（上限2000万）'!$Q$15="",0,IF($B116&lt;'信用保険料計算書（上限2000万）'!$Q$15,0,IF($B116&gt;'信用保険料計算書（上限2000万）'!$Q$16,0,1)))</f>
        <v>0</v>
      </c>
      <c r="Q116" s="209">
        <f>IF(P116=1,HLOOKUP(C116,'計算書（第7回）'!$C$123:$U$124,2,TRUE),0)</f>
        <v>0</v>
      </c>
      <c r="R116" s="212"/>
      <c r="S116" s="211">
        <f>COUNTIF($AB$13:$AB$19,"&lt;=2020/9/1")</f>
        <v>0</v>
      </c>
      <c r="T116" s="178" t="e">
        <f t="shared" si="11"/>
        <v>#NUM!</v>
      </c>
      <c r="U116" s="181">
        <f t="shared" si="7"/>
        <v>0</v>
      </c>
      <c r="V116" s="182">
        <f t="shared" si="12"/>
        <v>0</v>
      </c>
      <c r="W116" s="245">
        <f t="shared" si="9"/>
        <v>0</v>
      </c>
      <c r="X116" s="183">
        <f>INT(SUM(W111:W116))</f>
        <v>0</v>
      </c>
    </row>
    <row r="117" spans="2:24">
      <c r="B117" s="214">
        <f t="shared" si="10"/>
        <v>44105</v>
      </c>
      <c r="C117" s="198">
        <f t="shared" si="6"/>
        <v>44075</v>
      </c>
      <c r="D117" s="209">
        <f>IF(B117&lt;'信用保険料計算書（上限2000万）'!$E$15,0,IF(B117&gt;'信用保険料計算書（上限2000万）'!$E$16,0,1))</f>
        <v>0</v>
      </c>
      <c r="E117" s="209">
        <f>IF(D117=1,HLOOKUP(C117,'計算書（第1回）'!$C$123:$U$124,2,TRUE),0)</f>
        <v>0</v>
      </c>
      <c r="F117" s="209">
        <f>IF('信用保険料計算書（上限2000万）'!$G$15="",0,IF($B117&lt;'信用保険料計算書（上限2000万）'!$G$15,0,IF($B117&gt;'信用保険料計算書（上限2000万）'!$G$16,0,1)))</f>
        <v>0</v>
      </c>
      <c r="G117" s="209">
        <f>IF(F117=1,HLOOKUP(C117,'計算書（第2回）'!$C$123:$U$124,2,TRUE),0)</f>
        <v>0</v>
      </c>
      <c r="H117" s="209">
        <f>IF('信用保険料計算書（上限2000万）'!$I$15="",0,IF($B117&lt;'信用保険料計算書（上限2000万）'!$I$15,0,IF($B117&gt;'信用保険料計算書（上限2000万）'!$I$16,0,1)))</f>
        <v>0</v>
      </c>
      <c r="I117" s="209">
        <f>IF(H117=1,HLOOKUP(C117,'計算書（第3回）'!$C$123:$U$124,2,TRUE),0)</f>
        <v>0</v>
      </c>
      <c r="J117" s="209">
        <f>IF('信用保険料計算書（上限2000万）'!$K$15="",0,IF($B117&lt;'信用保険料計算書（上限2000万）'!$K$15,0,IF($B117&gt;'信用保険料計算書（上限2000万）'!$K$16,0,1)))</f>
        <v>0</v>
      </c>
      <c r="K117" s="209">
        <f>IF(J117=1,HLOOKUP(C117,'計算書（第4回）'!$C$123:$U$124,2,TRUE),0)</f>
        <v>0</v>
      </c>
      <c r="L117" s="209">
        <f>IF('信用保険料計算書（上限2000万）'!$M$15="",0,IF($B117&lt;'信用保険料計算書（上限2000万）'!$M$15,0,IF($B117&gt;'信用保険料計算書（上限2000万）'!$M$16,0,1)))</f>
        <v>0</v>
      </c>
      <c r="M117" s="209">
        <f>IF(L117=1,HLOOKUP(C117,'計算書（第5回）'!$C$123:$U$124,2,TRUE),0)</f>
        <v>0</v>
      </c>
      <c r="N117" s="209">
        <f>IF('信用保険料計算書（上限2000万）'!$O$15="",0,IF($B117&lt;'信用保険料計算書（上限2000万）'!$O$15,0,IF($B117&gt;'信用保険料計算書（上限2000万）'!$O$16,0,1)))</f>
        <v>0</v>
      </c>
      <c r="O117" s="209">
        <f>IF(N117=1,HLOOKUP(C117,'計算書（第6回）'!$C$123:$U$124,2,TRUE),0)</f>
        <v>0</v>
      </c>
      <c r="P117" s="209">
        <f>IF('信用保険料計算書（上限2000万）'!$Q$15="",0,IF($B117&lt;'信用保険料計算書（上限2000万）'!$Q$15,0,IF($B117&gt;'信用保険料計算書（上限2000万）'!$Q$16,0,1)))</f>
        <v>0</v>
      </c>
      <c r="Q117" s="209">
        <f>IF(P117=1,HLOOKUP(C117,'計算書（第7回）'!$C$123:$U$124,2,TRUE),0)</f>
        <v>0</v>
      </c>
      <c r="R117" s="212"/>
      <c r="S117" s="211">
        <f>COUNTIF($AB$13:$AB$19,"&lt;=2020/10/1")</f>
        <v>0</v>
      </c>
      <c r="T117" s="178" t="e">
        <f t="shared" si="11"/>
        <v>#NUM!</v>
      </c>
      <c r="U117" s="181">
        <f t="shared" si="7"/>
        <v>0</v>
      </c>
      <c r="V117" s="182">
        <f t="shared" si="12"/>
        <v>0</v>
      </c>
      <c r="W117" s="245">
        <f t="shared" si="9"/>
        <v>0</v>
      </c>
      <c r="X117" s="182"/>
    </row>
    <row r="118" spans="2:24">
      <c r="B118" s="214">
        <f t="shared" si="10"/>
        <v>44136</v>
      </c>
      <c r="C118" s="198">
        <f t="shared" si="6"/>
        <v>44105</v>
      </c>
      <c r="D118" s="209">
        <f>IF(B118&lt;'信用保険料計算書（上限2000万）'!$E$15,0,IF(B118&gt;'信用保険料計算書（上限2000万）'!$E$16,0,1))</f>
        <v>0</v>
      </c>
      <c r="E118" s="209">
        <f>IF(D118=1,HLOOKUP(C118,'計算書（第1回）'!$C$123:$U$124,2,TRUE),0)</f>
        <v>0</v>
      </c>
      <c r="F118" s="209">
        <f>IF('信用保険料計算書（上限2000万）'!$G$15="",0,IF($B118&lt;'信用保険料計算書（上限2000万）'!$G$15,0,IF($B118&gt;'信用保険料計算書（上限2000万）'!$G$16,0,1)))</f>
        <v>0</v>
      </c>
      <c r="G118" s="209">
        <f>IF(F118=1,HLOOKUP(C118,'計算書（第2回）'!$C$123:$U$124,2,TRUE),0)</f>
        <v>0</v>
      </c>
      <c r="H118" s="209">
        <f>IF('信用保険料計算書（上限2000万）'!$I$15="",0,IF($B118&lt;'信用保険料計算書（上限2000万）'!$I$15,0,IF($B118&gt;'信用保険料計算書（上限2000万）'!$I$16,0,1)))</f>
        <v>0</v>
      </c>
      <c r="I118" s="209">
        <f>IF(H118=1,HLOOKUP(C118,'計算書（第3回）'!$C$123:$U$124,2,TRUE),0)</f>
        <v>0</v>
      </c>
      <c r="J118" s="209">
        <f>IF('信用保険料計算書（上限2000万）'!$K$15="",0,IF($B118&lt;'信用保険料計算書（上限2000万）'!$K$15,0,IF($B118&gt;'信用保険料計算書（上限2000万）'!$K$16,0,1)))</f>
        <v>0</v>
      </c>
      <c r="K118" s="209">
        <f>IF(J118=1,HLOOKUP(C118,'計算書（第4回）'!$C$123:$U$124,2,TRUE),0)</f>
        <v>0</v>
      </c>
      <c r="L118" s="209">
        <f>IF('信用保険料計算書（上限2000万）'!$M$15="",0,IF($B118&lt;'信用保険料計算書（上限2000万）'!$M$15,0,IF($B118&gt;'信用保険料計算書（上限2000万）'!$M$16,0,1)))</f>
        <v>0</v>
      </c>
      <c r="M118" s="209">
        <f>IF(L118=1,HLOOKUP(C118,'計算書（第5回）'!$C$123:$U$124,2,TRUE),0)</f>
        <v>0</v>
      </c>
      <c r="N118" s="209">
        <f>IF('信用保険料計算書（上限2000万）'!$O$15="",0,IF($B118&lt;'信用保険料計算書（上限2000万）'!$O$15,0,IF($B118&gt;'信用保険料計算書（上限2000万）'!$O$16,0,1)))</f>
        <v>0</v>
      </c>
      <c r="O118" s="209">
        <f>IF(N118=1,HLOOKUP(C118,'計算書（第6回）'!$C$123:$U$124,2,TRUE),0)</f>
        <v>0</v>
      </c>
      <c r="P118" s="209">
        <f>IF('信用保険料計算書（上限2000万）'!$Q$15="",0,IF($B118&lt;'信用保険料計算書（上限2000万）'!$Q$15,0,IF($B118&gt;'信用保険料計算書（上限2000万）'!$Q$16,0,1)))</f>
        <v>0</v>
      </c>
      <c r="Q118" s="209">
        <f>IF(P118=1,HLOOKUP(C118,'計算書（第7回）'!$C$123:$U$124,2,TRUE),0)</f>
        <v>0</v>
      </c>
      <c r="R118" s="212"/>
      <c r="S118" s="211">
        <f>COUNTIF($AB$13:$AB$19,"&lt;=2020/11/1")</f>
        <v>0</v>
      </c>
      <c r="T118" s="178" t="e">
        <f t="shared" si="11"/>
        <v>#NUM!</v>
      </c>
      <c r="U118" s="181">
        <f t="shared" si="7"/>
        <v>0</v>
      </c>
      <c r="V118" s="182">
        <f t="shared" si="12"/>
        <v>0</v>
      </c>
      <c r="W118" s="245">
        <f t="shared" si="9"/>
        <v>0</v>
      </c>
      <c r="X118" s="182"/>
    </row>
    <row r="119" spans="2:24">
      <c r="B119" s="214">
        <f t="shared" si="10"/>
        <v>44166</v>
      </c>
      <c r="C119" s="198">
        <f t="shared" si="6"/>
        <v>44136</v>
      </c>
      <c r="D119" s="209">
        <f>IF(B119&lt;'信用保険料計算書（上限2000万）'!$E$15,0,IF(B119&gt;'信用保険料計算書（上限2000万）'!$E$16,0,1))</f>
        <v>0</v>
      </c>
      <c r="E119" s="209">
        <f>IF(D119=1,HLOOKUP(C119,'計算書（第1回）'!$C$123:$U$124,2,TRUE),0)</f>
        <v>0</v>
      </c>
      <c r="F119" s="209">
        <f>IF('信用保険料計算書（上限2000万）'!$G$15="",0,IF($B119&lt;'信用保険料計算書（上限2000万）'!$G$15,0,IF($B119&gt;'信用保険料計算書（上限2000万）'!$G$16,0,1)))</f>
        <v>0</v>
      </c>
      <c r="G119" s="209">
        <f>IF(F119=1,HLOOKUP(C119,'計算書（第2回）'!$C$123:$U$124,2,TRUE),0)</f>
        <v>0</v>
      </c>
      <c r="H119" s="209">
        <f>IF('信用保険料計算書（上限2000万）'!$I$15="",0,IF($B119&lt;'信用保険料計算書（上限2000万）'!$I$15,0,IF($B119&gt;'信用保険料計算書（上限2000万）'!$I$16,0,1)))</f>
        <v>0</v>
      </c>
      <c r="I119" s="209">
        <f>IF(H119=1,HLOOKUP(C119,'計算書（第3回）'!$C$123:$U$124,2,TRUE),0)</f>
        <v>0</v>
      </c>
      <c r="J119" s="209">
        <f>IF('信用保険料計算書（上限2000万）'!$K$15="",0,IF($B119&lt;'信用保険料計算書（上限2000万）'!$K$15,0,IF($B119&gt;'信用保険料計算書（上限2000万）'!$K$16,0,1)))</f>
        <v>0</v>
      </c>
      <c r="K119" s="209">
        <f>IF(J119=1,HLOOKUP(C119,'計算書（第4回）'!$C$123:$U$124,2,TRUE),0)</f>
        <v>0</v>
      </c>
      <c r="L119" s="209">
        <f>IF('信用保険料計算書（上限2000万）'!$M$15="",0,IF($B119&lt;'信用保険料計算書（上限2000万）'!$M$15,0,IF($B119&gt;'信用保険料計算書（上限2000万）'!$M$16,0,1)))</f>
        <v>0</v>
      </c>
      <c r="M119" s="209">
        <f>IF(L119=1,HLOOKUP(C119,'計算書（第5回）'!$C$123:$U$124,2,TRUE),0)</f>
        <v>0</v>
      </c>
      <c r="N119" s="209">
        <f>IF('信用保険料計算書（上限2000万）'!$O$15="",0,IF($B119&lt;'信用保険料計算書（上限2000万）'!$O$15,0,IF($B119&gt;'信用保険料計算書（上限2000万）'!$O$16,0,1)))</f>
        <v>0</v>
      </c>
      <c r="O119" s="209">
        <f>IF(N119=1,HLOOKUP(C119,'計算書（第6回）'!$C$123:$U$124,2,TRUE),0)</f>
        <v>0</v>
      </c>
      <c r="P119" s="209">
        <f>IF('信用保険料計算書（上限2000万）'!$Q$15="",0,IF($B119&lt;'信用保険料計算書（上限2000万）'!$Q$15,0,IF($B119&gt;'信用保険料計算書（上限2000万）'!$Q$16,0,1)))</f>
        <v>0</v>
      </c>
      <c r="Q119" s="209">
        <f>IF(P119=1,HLOOKUP(C119,'計算書（第7回）'!$C$123:$U$124,2,TRUE),0)</f>
        <v>0</v>
      </c>
      <c r="R119" s="212"/>
      <c r="S119" s="211">
        <f>COUNTIF($AB$13:$AB$19,"&lt;=2020/12/1")</f>
        <v>0</v>
      </c>
      <c r="T119" s="178" t="e">
        <f t="shared" si="11"/>
        <v>#NUM!</v>
      </c>
      <c r="U119" s="181">
        <f t="shared" si="7"/>
        <v>0</v>
      </c>
      <c r="V119" s="182">
        <f t="shared" si="12"/>
        <v>0</v>
      </c>
      <c r="W119" s="245">
        <f t="shared" si="9"/>
        <v>0</v>
      </c>
      <c r="X119" s="182"/>
    </row>
    <row r="120" spans="2:24">
      <c r="B120" s="214">
        <f t="shared" si="10"/>
        <v>44197</v>
      </c>
      <c r="C120" s="198">
        <f t="shared" si="6"/>
        <v>44166</v>
      </c>
      <c r="D120" s="209">
        <f>IF(B120&lt;'信用保険料計算書（上限2000万）'!$E$15,0,IF(B120&gt;'信用保険料計算書（上限2000万）'!$E$16,0,1))</f>
        <v>0</v>
      </c>
      <c r="E120" s="209">
        <f>IF(D120=1,HLOOKUP(C120,'計算書（第1回）'!$C$123:$U$124,2,TRUE),0)</f>
        <v>0</v>
      </c>
      <c r="F120" s="209">
        <f>IF('信用保険料計算書（上限2000万）'!$G$15="",0,IF($B120&lt;'信用保険料計算書（上限2000万）'!$G$15,0,IF($B120&gt;'信用保険料計算書（上限2000万）'!$G$16,0,1)))</f>
        <v>0</v>
      </c>
      <c r="G120" s="209">
        <f>IF(F120=1,HLOOKUP(C120,'計算書（第2回）'!$C$123:$U$124,2,TRUE),0)</f>
        <v>0</v>
      </c>
      <c r="H120" s="209">
        <f>IF('信用保険料計算書（上限2000万）'!$I$15="",0,IF($B120&lt;'信用保険料計算書（上限2000万）'!$I$15,0,IF($B120&gt;'信用保険料計算書（上限2000万）'!$I$16,0,1)))</f>
        <v>0</v>
      </c>
      <c r="I120" s="209">
        <f>IF(H120=1,HLOOKUP(C120,'計算書（第3回）'!$C$123:$U$124,2,TRUE),0)</f>
        <v>0</v>
      </c>
      <c r="J120" s="209">
        <f>IF('信用保険料計算書（上限2000万）'!$K$15="",0,IF($B120&lt;'信用保険料計算書（上限2000万）'!$K$15,0,IF($B120&gt;'信用保険料計算書（上限2000万）'!$K$16,0,1)))</f>
        <v>0</v>
      </c>
      <c r="K120" s="209">
        <f>IF(J120=1,HLOOKUP(C120,'計算書（第4回）'!$C$123:$U$124,2,TRUE),0)</f>
        <v>0</v>
      </c>
      <c r="L120" s="209">
        <f>IF('信用保険料計算書（上限2000万）'!$M$15="",0,IF($B120&lt;'信用保険料計算書（上限2000万）'!$M$15,0,IF($B120&gt;'信用保険料計算書（上限2000万）'!$M$16,0,1)))</f>
        <v>0</v>
      </c>
      <c r="M120" s="209">
        <f>IF(L120=1,HLOOKUP(C120,'計算書（第5回）'!$C$123:$U$124,2,TRUE),0)</f>
        <v>0</v>
      </c>
      <c r="N120" s="209">
        <f>IF('信用保険料計算書（上限2000万）'!$O$15="",0,IF($B120&lt;'信用保険料計算書（上限2000万）'!$O$15,0,IF($B120&gt;'信用保険料計算書（上限2000万）'!$O$16,0,1)))</f>
        <v>0</v>
      </c>
      <c r="O120" s="209">
        <f>IF(N120=1,HLOOKUP(C120,'計算書（第6回）'!$C$123:$U$124,2,TRUE),0)</f>
        <v>0</v>
      </c>
      <c r="P120" s="209">
        <f>IF('信用保険料計算書（上限2000万）'!$Q$15="",0,IF($B120&lt;'信用保険料計算書（上限2000万）'!$Q$15,0,IF($B120&gt;'信用保険料計算書（上限2000万）'!$Q$16,0,1)))</f>
        <v>0</v>
      </c>
      <c r="Q120" s="209">
        <f>IF(P120=1,HLOOKUP(C120,'計算書（第7回）'!$C$123:$U$124,2,TRUE),0)</f>
        <v>0</v>
      </c>
      <c r="R120" s="213"/>
      <c r="S120" s="211">
        <f>COUNTIF($AB$13:$AB$19,"&lt;=2021/1/1")</f>
        <v>0</v>
      </c>
      <c r="T120" s="178" t="e">
        <f t="shared" si="11"/>
        <v>#NUM!</v>
      </c>
      <c r="U120" s="181">
        <f t="shared" si="7"/>
        <v>0</v>
      </c>
      <c r="V120" s="182">
        <f t="shared" si="12"/>
        <v>0</v>
      </c>
      <c r="W120" s="245">
        <f t="shared" si="9"/>
        <v>0</v>
      </c>
      <c r="X120" s="182"/>
    </row>
    <row r="121" spans="2:24">
      <c r="B121" s="214">
        <f t="shared" si="10"/>
        <v>44228</v>
      </c>
      <c r="C121" s="198">
        <f t="shared" si="6"/>
        <v>44197</v>
      </c>
      <c r="D121" s="209">
        <f>IF(B121&lt;'信用保険料計算書（上限2000万）'!$E$15,0,IF(B121&gt;'信用保険料計算書（上限2000万）'!$E$16,0,1))</f>
        <v>0</v>
      </c>
      <c r="E121" s="209">
        <f>IF(D121=1,HLOOKUP(C121,'計算書（第1回）'!$C$123:$U$124,2,TRUE),0)</f>
        <v>0</v>
      </c>
      <c r="F121" s="209">
        <f>IF('信用保険料計算書（上限2000万）'!$G$15="",0,IF($B121&lt;'信用保険料計算書（上限2000万）'!$G$15,0,IF($B121&gt;'信用保険料計算書（上限2000万）'!$G$16,0,1)))</f>
        <v>0</v>
      </c>
      <c r="G121" s="209">
        <f>IF(F121=1,HLOOKUP(C121,'計算書（第2回）'!$C$123:$U$124,2,TRUE),0)</f>
        <v>0</v>
      </c>
      <c r="H121" s="209">
        <f>IF('信用保険料計算書（上限2000万）'!$I$15="",0,IF($B121&lt;'信用保険料計算書（上限2000万）'!$I$15,0,IF($B121&gt;'信用保険料計算書（上限2000万）'!$I$16,0,1)))</f>
        <v>0</v>
      </c>
      <c r="I121" s="209">
        <f>IF(H121=1,HLOOKUP(C121,'計算書（第3回）'!$C$123:$U$124,2,TRUE),0)</f>
        <v>0</v>
      </c>
      <c r="J121" s="209">
        <f>IF('信用保険料計算書（上限2000万）'!$K$15="",0,IF($B121&lt;'信用保険料計算書（上限2000万）'!$K$15,0,IF($B121&gt;'信用保険料計算書（上限2000万）'!$K$16,0,1)))</f>
        <v>0</v>
      </c>
      <c r="K121" s="209">
        <f>IF(J121=1,HLOOKUP(C121,'計算書（第4回）'!$C$123:$U$124,2,TRUE),0)</f>
        <v>0</v>
      </c>
      <c r="L121" s="209">
        <f>IF('信用保険料計算書（上限2000万）'!$M$15="",0,IF($B121&lt;'信用保険料計算書（上限2000万）'!$M$15,0,IF($B121&gt;'信用保険料計算書（上限2000万）'!$M$16,0,1)))</f>
        <v>0</v>
      </c>
      <c r="M121" s="209">
        <f>IF(L121=1,HLOOKUP(C121,'計算書（第5回）'!$C$123:$U$124,2,TRUE),0)</f>
        <v>0</v>
      </c>
      <c r="N121" s="209">
        <f>IF('信用保険料計算書（上限2000万）'!$O$15="",0,IF($B121&lt;'信用保険料計算書（上限2000万）'!$O$15,0,IF($B121&gt;'信用保険料計算書（上限2000万）'!$O$16,0,1)))</f>
        <v>0</v>
      </c>
      <c r="O121" s="209">
        <f>IF(N121=1,HLOOKUP(C121,'計算書（第6回）'!$C$123:$U$124,2,TRUE),0)</f>
        <v>0</v>
      </c>
      <c r="P121" s="209">
        <f>IF('信用保険料計算書（上限2000万）'!$Q$15="",0,IF($B121&lt;'信用保険料計算書（上限2000万）'!$Q$15,0,IF($B121&gt;'信用保険料計算書（上限2000万）'!$Q$16,0,1)))</f>
        <v>0</v>
      </c>
      <c r="Q121" s="209">
        <f>IF(P121=1,HLOOKUP(C121,'計算書（第7回）'!$C$123:$U$124,2,TRUE),0)</f>
        <v>0</v>
      </c>
      <c r="R121" s="213"/>
      <c r="S121" s="211">
        <f>COUNTIF($AB$13:$AB$19,"&lt;=2021/2/1")</f>
        <v>0</v>
      </c>
      <c r="T121" s="178" t="e">
        <f t="shared" si="11"/>
        <v>#NUM!</v>
      </c>
      <c r="U121" s="181">
        <f t="shared" si="7"/>
        <v>0</v>
      </c>
      <c r="V121" s="182">
        <f t="shared" si="12"/>
        <v>0</v>
      </c>
      <c r="W121" s="245">
        <f t="shared" si="9"/>
        <v>0</v>
      </c>
      <c r="X121" s="182"/>
    </row>
    <row r="122" spans="2:24">
      <c r="B122" s="214">
        <f t="shared" si="10"/>
        <v>44256</v>
      </c>
      <c r="C122" s="198">
        <f t="shared" si="6"/>
        <v>44228</v>
      </c>
      <c r="D122" s="209">
        <f>IF(B122&lt;'信用保険料計算書（上限2000万）'!$E$15,0,IF(B122&gt;'信用保険料計算書（上限2000万）'!$E$16,0,1))</f>
        <v>0</v>
      </c>
      <c r="E122" s="209">
        <f>IF(D122=1,HLOOKUP(C122,'計算書（第1回）'!$C$123:$U$124,2,TRUE),0)</f>
        <v>0</v>
      </c>
      <c r="F122" s="209">
        <f>IF('信用保険料計算書（上限2000万）'!$G$15="",0,IF($B122&lt;'信用保険料計算書（上限2000万）'!$G$15,0,IF($B122&gt;'信用保険料計算書（上限2000万）'!$G$16,0,1)))</f>
        <v>0</v>
      </c>
      <c r="G122" s="209">
        <f>IF(F122=1,HLOOKUP(C122,'計算書（第2回）'!$C$123:$U$124,2,TRUE),0)</f>
        <v>0</v>
      </c>
      <c r="H122" s="209">
        <f>IF('信用保険料計算書（上限2000万）'!$I$15="",0,IF($B122&lt;'信用保険料計算書（上限2000万）'!$I$15,0,IF($B122&gt;'信用保険料計算書（上限2000万）'!$I$16,0,1)))</f>
        <v>0</v>
      </c>
      <c r="I122" s="209">
        <f>IF(H122=1,HLOOKUP(C122,'計算書（第3回）'!$C$123:$U$124,2,TRUE),0)</f>
        <v>0</v>
      </c>
      <c r="J122" s="209">
        <f>IF('信用保険料計算書（上限2000万）'!$K$15="",0,IF($B122&lt;'信用保険料計算書（上限2000万）'!$K$15,0,IF($B122&gt;'信用保険料計算書（上限2000万）'!$K$16,0,1)))</f>
        <v>0</v>
      </c>
      <c r="K122" s="209">
        <f>IF(J122=1,HLOOKUP(C122,'計算書（第4回）'!$C$123:$U$124,2,TRUE),0)</f>
        <v>0</v>
      </c>
      <c r="L122" s="209">
        <f>IF('信用保険料計算書（上限2000万）'!$M$15="",0,IF($B122&lt;'信用保険料計算書（上限2000万）'!$M$15,0,IF($B122&gt;'信用保険料計算書（上限2000万）'!$M$16,0,1)))</f>
        <v>0</v>
      </c>
      <c r="M122" s="209">
        <f>IF(L122=1,HLOOKUP(C122,'計算書（第5回）'!$C$123:$U$124,2,TRUE),0)</f>
        <v>0</v>
      </c>
      <c r="N122" s="209">
        <f>IF('信用保険料計算書（上限2000万）'!$O$15="",0,IF($B122&lt;'信用保険料計算書（上限2000万）'!$O$15,0,IF($B122&gt;'信用保険料計算書（上限2000万）'!$O$16,0,1)))</f>
        <v>0</v>
      </c>
      <c r="O122" s="209">
        <f>IF(N122=1,HLOOKUP(C122,'計算書（第6回）'!$C$123:$U$124,2,TRUE),0)</f>
        <v>0</v>
      </c>
      <c r="P122" s="209">
        <f>IF('信用保険料計算書（上限2000万）'!$Q$15="",0,IF($B122&lt;'信用保険料計算書（上限2000万）'!$Q$15,0,IF($B122&gt;'信用保険料計算書（上限2000万）'!$Q$16,0,1)))</f>
        <v>0</v>
      </c>
      <c r="Q122" s="209">
        <f>IF(P122=1,HLOOKUP(C122,'計算書（第7回）'!$C$123:$U$124,2,TRUE),0)</f>
        <v>0</v>
      </c>
      <c r="R122" s="213"/>
      <c r="S122" s="211">
        <f>COUNTIF($AB$13:$AB$19,"&lt;=2021/3/1")</f>
        <v>0</v>
      </c>
      <c r="T122" s="178" t="e">
        <f t="shared" si="11"/>
        <v>#NUM!</v>
      </c>
      <c r="U122" s="181">
        <f t="shared" si="7"/>
        <v>0</v>
      </c>
      <c r="V122" s="182">
        <f t="shared" si="12"/>
        <v>0</v>
      </c>
      <c r="W122" s="245">
        <f t="shared" si="9"/>
        <v>0</v>
      </c>
      <c r="X122" s="183">
        <f>INT(SUM(W117:W122))</f>
        <v>0</v>
      </c>
    </row>
    <row r="123" spans="2:24">
      <c r="B123" s="214">
        <f t="shared" si="10"/>
        <v>44287</v>
      </c>
      <c r="C123" s="198">
        <f t="shared" si="6"/>
        <v>44256</v>
      </c>
      <c r="D123" s="209">
        <f>IF(B123&lt;'信用保険料計算書（上限2000万）'!$E$15,0,IF(B123&gt;'信用保険料計算書（上限2000万）'!$E$16,0,1))</f>
        <v>0</v>
      </c>
      <c r="E123" s="209">
        <f>IF(D123=1,HLOOKUP(C123,'計算書（第1回）'!$C$123:$U$124,2,TRUE),0)</f>
        <v>0</v>
      </c>
      <c r="F123" s="209">
        <f>IF('信用保険料計算書（上限2000万）'!$G$15="",0,IF($B123&lt;'信用保険料計算書（上限2000万）'!$G$15,0,IF($B123&gt;'信用保険料計算書（上限2000万）'!$G$16,0,1)))</f>
        <v>0</v>
      </c>
      <c r="G123" s="209">
        <f>IF(F123=1,HLOOKUP(C123,'計算書（第2回）'!$C$123:$U$124,2,TRUE),0)</f>
        <v>0</v>
      </c>
      <c r="H123" s="209">
        <f>IF('信用保険料計算書（上限2000万）'!$I$15="",0,IF($B123&lt;'信用保険料計算書（上限2000万）'!$I$15,0,IF($B123&gt;'信用保険料計算書（上限2000万）'!$I$16,0,1)))</f>
        <v>0</v>
      </c>
      <c r="I123" s="209">
        <f>IF(H123=1,HLOOKUP(C123,'計算書（第3回）'!$C$123:$U$124,2,TRUE),0)</f>
        <v>0</v>
      </c>
      <c r="J123" s="209">
        <f>IF('信用保険料計算書（上限2000万）'!$K$15="",0,IF($B123&lt;'信用保険料計算書（上限2000万）'!$K$15,0,IF($B123&gt;'信用保険料計算書（上限2000万）'!$K$16,0,1)))</f>
        <v>0</v>
      </c>
      <c r="K123" s="209">
        <f>IF(J123=1,HLOOKUP(C123,'計算書（第4回）'!$C$123:$U$124,2,TRUE),0)</f>
        <v>0</v>
      </c>
      <c r="L123" s="209">
        <f>IF('信用保険料計算書（上限2000万）'!$M$15="",0,IF($B123&lt;'信用保険料計算書（上限2000万）'!$M$15,0,IF($B123&gt;'信用保険料計算書（上限2000万）'!$M$16,0,1)))</f>
        <v>0</v>
      </c>
      <c r="M123" s="209">
        <f>IF(L123=1,HLOOKUP(C123,'計算書（第5回）'!$C$123:$U$124,2,TRUE),0)</f>
        <v>0</v>
      </c>
      <c r="N123" s="209">
        <f>IF('信用保険料計算書（上限2000万）'!$O$15="",0,IF($B123&lt;'信用保険料計算書（上限2000万）'!$O$15,0,IF($B123&gt;'信用保険料計算書（上限2000万）'!$O$16,0,1)))</f>
        <v>0</v>
      </c>
      <c r="O123" s="209">
        <f>IF(N123=1,HLOOKUP(C123,'計算書（第6回）'!$C$123:$U$124,2,TRUE),0)</f>
        <v>0</v>
      </c>
      <c r="P123" s="209">
        <f>IF('信用保険料計算書（上限2000万）'!$Q$15="",0,IF($B123&lt;'信用保険料計算書（上限2000万）'!$Q$15,0,IF($B123&gt;'信用保険料計算書（上限2000万）'!$Q$16,0,1)))</f>
        <v>0</v>
      </c>
      <c r="Q123" s="209">
        <f>IF(P123=1,HLOOKUP(C123,'計算書（第7回）'!$C$123:$U$124,2,TRUE),0)</f>
        <v>0</v>
      </c>
      <c r="R123" s="213"/>
      <c r="S123" s="211">
        <f>COUNTIF($AB$13:$AB$19,"&lt;=2021/4/1")</f>
        <v>0</v>
      </c>
      <c r="T123" s="178" t="e">
        <f t="shared" si="11"/>
        <v>#NUM!</v>
      </c>
      <c r="U123" s="181">
        <f t="shared" si="7"/>
        <v>0</v>
      </c>
      <c r="V123" s="182">
        <f t="shared" si="12"/>
        <v>0</v>
      </c>
      <c r="W123" s="245">
        <f t="shared" si="9"/>
        <v>0</v>
      </c>
      <c r="X123" s="182"/>
    </row>
    <row r="124" spans="2:24">
      <c r="B124" s="214">
        <f t="shared" si="10"/>
        <v>44317</v>
      </c>
      <c r="C124" s="198">
        <f t="shared" si="6"/>
        <v>44287</v>
      </c>
      <c r="D124" s="209">
        <f>IF(B124&lt;'信用保険料計算書（上限2000万）'!$E$15,0,IF(B124&gt;'信用保険料計算書（上限2000万）'!$E$16,0,1))</f>
        <v>0</v>
      </c>
      <c r="E124" s="209">
        <f>IF(D124=1,HLOOKUP(C124,'計算書（第1回）'!$C$123:$U$124,2,TRUE),0)</f>
        <v>0</v>
      </c>
      <c r="F124" s="209">
        <f>IF('信用保険料計算書（上限2000万）'!$G$15="",0,IF($B124&lt;'信用保険料計算書（上限2000万）'!$G$15,0,IF($B124&gt;'信用保険料計算書（上限2000万）'!$G$16,0,1)))</f>
        <v>0</v>
      </c>
      <c r="G124" s="209">
        <f>IF(F124=1,HLOOKUP(C124,'計算書（第2回）'!$C$123:$U$124,2,TRUE),0)</f>
        <v>0</v>
      </c>
      <c r="H124" s="209">
        <f>IF('信用保険料計算書（上限2000万）'!$I$15="",0,IF($B124&lt;'信用保険料計算書（上限2000万）'!$I$15,0,IF($B124&gt;'信用保険料計算書（上限2000万）'!$I$16,0,1)))</f>
        <v>0</v>
      </c>
      <c r="I124" s="209">
        <f>IF(H124=1,HLOOKUP(C124,'計算書（第3回）'!$C$123:$U$124,2,TRUE),0)</f>
        <v>0</v>
      </c>
      <c r="J124" s="209">
        <f>IF('信用保険料計算書（上限2000万）'!$K$15="",0,IF($B124&lt;'信用保険料計算書（上限2000万）'!$K$15,0,IF($B124&gt;'信用保険料計算書（上限2000万）'!$K$16,0,1)))</f>
        <v>0</v>
      </c>
      <c r="K124" s="209">
        <f>IF(J124=1,HLOOKUP(C124,'計算書（第4回）'!$C$123:$U$124,2,TRUE),0)</f>
        <v>0</v>
      </c>
      <c r="L124" s="209">
        <f>IF('信用保険料計算書（上限2000万）'!$M$15="",0,IF($B124&lt;'信用保険料計算書（上限2000万）'!$M$15,0,IF($B124&gt;'信用保険料計算書（上限2000万）'!$M$16,0,1)))</f>
        <v>0</v>
      </c>
      <c r="M124" s="209">
        <f>IF(L124=1,HLOOKUP(C124,'計算書（第5回）'!$C$123:$U$124,2,TRUE),0)</f>
        <v>0</v>
      </c>
      <c r="N124" s="209">
        <f>IF('信用保険料計算書（上限2000万）'!$O$15="",0,IF($B124&lt;'信用保険料計算書（上限2000万）'!$O$15,0,IF($B124&gt;'信用保険料計算書（上限2000万）'!$O$16,0,1)))</f>
        <v>0</v>
      </c>
      <c r="O124" s="209">
        <f>IF(N124=1,HLOOKUP(C124,'計算書（第6回）'!$C$123:$U$124,2,TRUE),0)</f>
        <v>0</v>
      </c>
      <c r="P124" s="209">
        <f>IF('信用保険料計算書（上限2000万）'!$Q$15="",0,IF($B124&lt;'信用保険料計算書（上限2000万）'!$Q$15,0,IF($B124&gt;'信用保険料計算書（上限2000万）'!$Q$16,0,1)))</f>
        <v>0</v>
      </c>
      <c r="Q124" s="209">
        <f>IF(P124=1,HLOOKUP(C124,'計算書（第7回）'!$C$123:$U$124,2,TRUE),0)</f>
        <v>0</v>
      </c>
      <c r="R124" s="213"/>
      <c r="S124" s="211">
        <f>COUNTIF($AB$13:$AB$19,"&lt;=2021/5/1")</f>
        <v>0</v>
      </c>
      <c r="T124" s="178" t="e">
        <f t="shared" si="11"/>
        <v>#NUM!</v>
      </c>
      <c r="U124" s="181">
        <f t="shared" si="7"/>
        <v>0</v>
      </c>
      <c r="V124" s="182">
        <f t="shared" si="12"/>
        <v>0</v>
      </c>
      <c r="W124" s="245">
        <f t="shared" si="9"/>
        <v>0</v>
      </c>
      <c r="X124" s="182"/>
    </row>
    <row r="125" spans="2:24">
      <c r="B125" s="214">
        <f t="shared" si="10"/>
        <v>44348</v>
      </c>
      <c r="C125" s="198">
        <f t="shared" si="6"/>
        <v>44317</v>
      </c>
      <c r="D125" s="209">
        <f>IF(B125&lt;'信用保険料計算書（上限2000万）'!$E$15,0,IF(B125&gt;'信用保険料計算書（上限2000万）'!$E$16,0,1))</f>
        <v>0</v>
      </c>
      <c r="E125" s="209">
        <f>IF(D125=1,HLOOKUP(C125,'計算書（第1回）'!$C$123:$U$124,2,TRUE),0)</f>
        <v>0</v>
      </c>
      <c r="F125" s="209">
        <f>IF('信用保険料計算書（上限2000万）'!$G$15="",0,IF($B125&lt;'信用保険料計算書（上限2000万）'!$G$15,0,IF($B125&gt;'信用保険料計算書（上限2000万）'!$G$16,0,1)))</f>
        <v>0</v>
      </c>
      <c r="G125" s="209">
        <f>IF(F125=1,HLOOKUP(C125,'計算書（第2回）'!$C$123:$U$124,2,TRUE),0)</f>
        <v>0</v>
      </c>
      <c r="H125" s="209">
        <f>IF('信用保険料計算書（上限2000万）'!$I$15="",0,IF($B125&lt;'信用保険料計算書（上限2000万）'!$I$15,0,IF($B125&gt;'信用保険料計算書（上限2000万）'!$I$16,0,1)))</f>
        <v>0</v>
      </c>
      <c r="I125" s="209">
        <f>IF(H125=1,HLOOKUP(C125,'計算書（第3回）'!$C$123:$U$124,2,TRUE),0)</f>
        <v>0</v>
      </c>
      <c r="J125" s="209">
        <f>IF('信用保険料計算書（上限2000万）'!$K$15="",0,IF($B125&lt;'信用保険料計算書（上限2000万）'!$K$15,0,IF($B125&gt;'信用保険料計算書（上限2000万）'!$K$16,0,1)))</f>
        <v>0</v>
      </c>
      <c r="K125" s="209">
        <f>IF(J125=1,HLOOKUP(C125,'計算書（第4回）'!$C$123:$U$124,2,TRUE),0)</f>
        <v>0</v>
      </c>
      <c r="L125" s="209">
        <f>IF('信用保険料計算書（上限2000万）'!$M$15="",0,IF($B125&lt;'信用保険料計算書（上限2000万）'!$M$15,0,IF($B125&gt;'信用保険料計算書（上限2000万）'!$M$16,0,1)))</f>
        <v>0</v>
      </c>
      <c r="M125" s="209">
        <f>IF(L125=1,HLOOKUP(C125,'計算書（第5回）'!$C$123:$U$124,2,TRUE),0)</f>
        <v>0</v>
      </c>
      <c r="N125" s="209">
        <f>IF('信用保険料計算書（上限2000万）'!$O$15="",0,IF($B125&lt;'信用保険料計算書（上限2000万）'!$O$15,0,IF($B125&gt;'信用保険料計算書（上限2000万）'!$O$16,0,1)))</f>
        <v>0</v>
      </c>
      <c r="O125" s="209">
        <f>IF(N125=1,HLOOKUP(C125,'計算書（第6回）'!$C$123:$U$124,2,TRUE),0)</f>
        <v>0</v>
      </c>
      <c r="P125" s="209">
        <f>IF('信用保険料計算書（上限2000万）'!$Q$15="",0,IF($B125&lt;'信用保険料計算書（上限2000万）'!$Q$15,0,IF($B125&gt;'信用保険料計算書（上限2000万）'!$Q$16,0,1)))</f>
        <v>0</v>
      </c>
      <c r="Q125" s="209">
        <f>IF(P125=1,HLOOKUP(C125,'計算書（第7回）'!$C$123:$U$124,2,TRUE),0)</f>
        <v>0</v>
      </c>
      <c r="R125" s="213"/>
      <c r="S125" s="211">
        <f>COUNTIF($AB$13:$AB$19,"&lt;=2021/6/1")</f>
        <v>0</v>
      </c>
      <c r="T125" s="178" t="e">
        <f t="shared" si="11"/>
        <v>#NUM!</v>
      </c>
      <c r="U125" s="181">
        <f t="shared" si="7"/>
        <v>0</v>
      </c>
      <c r="V125" s="182">
        <f t="shared" si="12"/>
        <v>0</v>
      </c>
      <c r="W125" s="245">
        <f t="shared" si="9"/>
        <v>0</v>
      </c>
      <c r="X125" s="182"/>
    </row>
    <row r="126" spans="2:24">
      <c r="B126" s="214">
        <f t="shared" si="10"/>
        <v>44378</v>
      </c>
      <c r="C126" s="198">
        <f t="shared" si="6"/>
        <v>44348</v>
      </c>
      <c r="D126" s="209">
        <f>IF(B126&lt;'信用保険料計算書（上限2000万）'!$E$15,0,IF(B126&gt;'信用保険料計算書（上限2000万）'!$E$16,0,1))</f>
        <v>0</v>
      </c>
      <c r="E126" s="209">
        <f>IF(D126=1,HLOOKUP(C126,'計算書（第1回）'!$C$123:$U$124,2,TRUE),0)</f>
        <v>0</v>
      </c>
      <c r="F126" s="209">
        <f>IF('信用保険料計算書（上限2000万）'!$G$15="",0,IF($B126&lt;'信用保険料計算書（上限2000万）'!$G$15,0,IF($B126&gt;'信用保険料計算書（上限2000万）'!$G$16,0,1)))</f>
        <v>0</v>
      </c>
      <c r="G126" s="209">
        <f>IF(F126=1,HLOOKUP(C126,'計算書（第2回）'!$C$123:$U$124,2,TRUE),0)</f>
        <v>0</v>
      </c>
      <c r="H126" s="209">
        <f>IF('信用保険料計算書（上限2000万）'!$I$15="",0,IF($B126&lt;'信用保険料計算書（上限2000万）'!$I$15,0,IF($B126&gt;'信用保険料計算書（上限2000万）'!$I$16,0,1)))</f>
        <v>0</v>
      </c>
      <c r="I126" s="209">
        <f>IF(H126=1,HLOOKUP(C126,'計算書（第3回）'!$C$123:$U$124,2,TRUE),0)</f>
        <v>0</v>
      </c>
      <c r="J126" s="209">
        <f>IF('信用保険料計算書（上限2000万）'!$K$15="",0,IF($B126&lt;'信用保険料計算書（上限2000万）'!$K$15,0,IF($B126&gt;'信用保険料計算書（上限2000万）'!$K$16,0,1)))</f>
        <v>0</v>
      </c>
      <c r="K126" s="209">
        <f>IF(J126=1,HLOOKUP(C126,'計算書（第4回）'!$C$123:$U$124,2,TRUE),0)</f>
        <v>0</v>
      </c>
      <c r="L126" s="209">
        <f>IF('信用保険料計算書（上限2000万）'!$M$15="",0,IF($B126&lt;'信用保険料計算書（上限2000万）'!$M$15,0,IF($B126&gt;'信用保険料計算書（上限2000万）'!$M$16,0,1)))</f>
        <v>0</v>
      </c>
      <c r="M126" s="209">
        <f>IF(L126=1,HLOOKUP(C126,'計算書（第5回）'!$C$123:$U$124,2,TRUE),0)</f>
        <v>0</v>
      </c>
      <c r="N126" s="209">
        <f>IF('信用保険料計算書（上限2000万）'!$O$15="",0,IF($B126&lt;'信用保険料計算書（上限2000万）'!$O$15,0,IF($B126&gt;'信用保険料計算書（上限2000万）'!$O$16,0,1)))</f>
        <v>0</v>
      </c>
      <c r="O126" s="209">
        <f>IF(N126=1,HLOOKUP(C126,'計算書（第6回）'!$C$123:$U$124,2,TRUE),0)</f>
        <v>0</v>
      </c>
      <c r="P126" s="209">
        <f>IF('信用保険料計算書（上限2000万）'!$Q$15="",0,IF($B126&lt;'信用保険料計算書（上限2000万）'!$Q$15,0,IF($B126&gt;'信用保険料計算書（上限2000万）'!$Q$16,0,1)))</f>
        <v>0</v>
      </c>
      <c r="Q126" s="209">
        <f>IF(P126=1,HLOOKUP(C126,'計算書（第7回）'!$C$123:$U$124,2,TRUE),0)</f>
        <v>0</v>
      </c>
      <c r="R126" s="213"/>
      <c r="S126" s="211">
        <f>COUNTIF($AB$13:$AB$19,"&lt;=2021/7/1")</f>
        <v>0</v>
      </c>
      <c r="T126" s="178" t="e">
        <f t="shared" si="11"/>
        <v>#NUM!</v>
      </c>
      <c r="U126" s="181">
        <f t="shared" si="7"/>
        <v>0</v>
      </c>
      <c r="V126" s="182">
        <f t="shared" si="12"/>
        <v>0</v>
      </c>
      <c r="W126" s="245">
        <f t="shared" si="9"/>
        <v>0</v>
      </c>
      <c r="X126" s="182"/>
    </row>
    <row r="127" spans="2:24">
      <c r="B127" s="214">
        <f t="shared" si="10"/>
        <v>44409</v>
      </c>
      <c r="C127" s="198">
        <f t="shared" si="6"/>
        <v>44378</v>
      </c>
      <c r="D127" s="209">
        <f>IF(B127&lt;'信用保険料計算書（上限2000万）'!$E$15,0,IF(B127&gt;'信用保険料計算書（上限2000万）'!$E$16,0,1))</f>
        <v>0</v>
      </c>
      <c r="E127" s="209">
        <f>IF(D127=1,HLOOKUP(C127,'計算書（第1回）'!$C$123:$U$124,2,TRUE),0)</f>
        <v>0</v>
      </c>
      <c r="F127" s="209">
        <f>IF('信用保険料計算書（上限2000万）'!$G$15="",0,IF($B127&lt;'信用保険料計算書（上限2000万）'!$G$15,0,IF($B127&gt;'信用保険料計算書（上限2000万）'!$G$16,0,1)))</f>
        <v>0</v>
      </c>
      <c r="G127" s="209">
        <f>IF(F127=1,HLOOKUP(C127,'計算書（第2回）'!$C$123:$U$124,2,TRUE),0)</f>
        <v>0</v>
      </c>
      <c r="H127" s="209">
        <f>IF('信用保険料計算書（上限2000万）'!$I$15="",0,IF($B127&lt;'信用保険料計算書（上限2000万）'!$I$15,0,IF($B127&gt;'信用保険料計算書（上限2000万）'!$I$16,0,1)))</f>
        <v>0</v>
      </c>
      <c r="I127" s="209">
        <f>IF(H127=1,HLOOKUP(C127,'計算書（第3回）'!$C$123:$U$124,2,TRUE),0)</f>
        <v>0</v>
      </c>
      <c r="J127" s="209">
        <f>IF('信用保険料計算書（上限2000万）'!$K$15="",0,IF($B127&lt;'信用保険料計算書（上限2000万）'!$K$15,0,IF($B127&gt;'信用保険料計算書（上限2000万）'!$K$16,0,1)))</f>
        <v>0</v>
      </c>
      <c r="K127" s="209">
        <f>IF(J127=1,HLOOKUP(C127,'計算書（第4回）'!$C$123:$U$124,2,TRUE),0)</f>
        <v>0</v>
      </c>
      <c r="L127" s="209">
        <f>IF('信用保険料計算書（上限2000万）'!$M$15="",0,IF($B127&lt;'信用保険料計算書（上限2000万）'!$M$15,0,IF($B127&gt;'信用保険料計算書（上限2000万）'!$M$16,0,1)))</f>
        <v>0</v>
      </c>
      <c r="M127" s="209">
        <f>IF(L127=1,HLOOKUP(C127,'計算書（第5回）'!$C$123:$U$124,2,TRUE),0)</f>
        <v>0</v>
      </c>
      <c r="N127" s="209">
        <f>IF('信用保険料計算書（上限2000万）'!$O$15="",0,IF($B127&lt;'信用保険料計算書（上限2000万）'!$O$15,0,IF($B127&gt;'信用保険料計算書（上限2000万）'!$O$16,0,1)))</f>
        <v>0</v>
      </c>
      <c r="O127" s="209">
        <f>IF(N127=1,HLOOKUP(C127,'計算書（第6回）'!$C$123:$U$124,2,TRUE),0)</f>
        <v>0</v>
      </c>
      <c r="P127" s="209">
        <f>IF('信用保険料計算書（上限2000万）'!$Q$15="",0,IF($B127&lt;'信用保険料計算書（上限2000万）'!$Q$15,0,IF($B127&gt;'信用保険料計算書（上限2000万）'!$Q$16,0,1)))</f>
        <v>0</v>
      </c>
      <c r="Q127" s="209">
        <f>IF(P127=1,HLOOKUP(C127,'計算書（第7回）'!$C$123:$U$124,2,TRUE),0)</f>
        <v>0</v>
      </c>
      <c r="R127" s="213"/>
      <c r="S127" s="211">
        <f>COUNTIF($AB$13:$AB$19,"&lt;=2021/8/1")</f>
        <v>0</v>
      </c>
      <c r="T127" s="178" t="e">
        <f t="shared" si="11"/>
        <v>#NUM!</v>
      </c>
      <c r="U127" s="181">
        <f t="shared" si="7"/>
        <v>0</v>
      </c>
      <c r="V127" s="182">
        <f t="shared" si="12"/>
        <v>0</v>
      </c>
      <c r="W127" s="245">
        <f t="shared" si="9"/>
        <v>0</v>
      </c>
      <c r="X127" s="182"/>
    </row>
    <row r="128" spans="2:24">
      <c r="B128" s="214">
        <f t="shared" si="10"/>
        <v>44440</v>
      </c>
      <c r="C128" s="198">
        <f t="shared" si="6"/>
        <v>44409</v>
      </c>
      <c r="D128" s="209">
        <f>IF(B128&lt;'信用保険料計算書（上限2000万）'!$E$15,0,IF(B128&gt;'信用保険料計算書（上限2000万）'!$E$16,0,1))</f>
        <v>0</v>
      </c>
      <c r="E128" s="209">
        <f>IF(D128=1,HLOOKUP(C128,'計算書（第1回）'!$C$123:$U$124,2,TRUE),0)</f>
        <v>0</v>
      </c>
      <c r="F128" s="209">
        <f>IF('信用保険料計算書（上限2000万）'!$G$15="",0,IF($B128&lt;'信用保険料計算書（上限2000万）'!$G$15,0,IF($B128&gt;'信用保険料計算書（上限2000万）'!$G$16,0,1)))</f>
        <v>0</v>
      </c>
      <c r="G128" s="209">
        <f>IF(F128=1,HLOOKUP(C128,'計算書（第2回）'!$C$123:$U$124,2,TRUE),0)</f>
        <v>0</v>
      </c>
      <c r="H128" s="209">
        <f>IF('信用保険料計算書（上限2000万）'!$I$15="",0,IF($B128&lt;'信用保険料計算書（上限2000万）'!$I$15,0,IF($B128&gt;'信用保険料計算書（上限2000万）'!$I$16,0,1)))</f>
        <v>0</v>
      </c>
      <c r="I128" s="209">
        <f>IF(H128=1,HLOOKUP(C128,'計算書（第3回）'!$C$123:$U$124,2,TRUE),0)</f>
        <v>0</v>
      </c>
      <c r="J128" s="209">
        <f>IF('信用保険料計算書（上限2000万）'!$K$15="",0,IF($B128&lt;'信用保険料計算書（上限2000万）'!$K$15,0,IF($B128&gt;'信用保険料計算書（上限2000万）'!$K$16,0,1)))</f>
        <v>0</v>
      </c>
      <c r="K128" s="209">
        <f>IF(J128=1,HLOOKUP(C128,'計算書（第4回）'!$C$123:$U$124,2,TRUE),0)</f>
        <v>0</v>
      </c>
      <c r="L128" s="209">
        <f>IF('信用保険料計算書（上限2000万）'!$M$15="",0,IF($B128&lt;'信用保険料計算書（上限2000万）'!$M$15,0,IF($B128&gt;'信用保険料計算書（上限2000万）'!$M$16,0,1)))</f>
        <v>0</v>
      </c>
      <c r="M128" s="209">
        <f>IF(L128=1,HLOOKUP(C128,'計算書（第5回）'!$C$123:$U$124,2,TRUE),0)</f>
        <v>0</v>
      </c>
      <c r="N128" s="209">
        <f>IF('信用保険料計算書（上限2000万）'!$O$15="",0,IF($B128&lt;'信用保険料計算書（上限2000万）'!$O$15,0,IF($B128&gt;'信用保険料計算書（上限2000万）'!$O$16,0,1)))</f>
        <v>0</v>
      </c>
      <c r="O128" s="209">
        <f>IF(N128=1,HLOOKUP(C128,'計算書（第6回）'!$C$123:$U$124,2,TRUE),0)</f>
        <v>0</v>
      </c>
      <c r="P128" s="209">
        <f>IF('信用保険料計算書（上限2000万）'!$Q$15="",0,IF($B128&lt;'信用保険料計算書（上限2000万）'!$Q$15,0,IF($B128&gt;'信用保険料計算書（上限2000万）'!$Q$16,0,1)))</f>
        <v>0</v>
      </c>
      <c r="Q128" s="209">
        <f>IF(P128=1,HLOOKUP(C128,'計算書（第7回）'!$C$123:$U$124,2,TRUE),0)</f>
        <v>0</v>
      </c>
      <c r="R128" s="213"/>
      <c r="S128" s="211">
        <f>COUNTIF($AB$13:$AB$19,"&lt;=2021/9/1")</f>
        <v>0</v>
      </c>
      <c r="T128" s="178" t="e">
        <f t="shared" si="11"/>
        <v>#NUM!</v>
      </c>
      <c r="U128" s="181">
        <f t="shared" si="7"/>
        <v>0</v>
      </c>
      <c r="V128" s="182">
        <f t="shared" si="12"/>
        <v>0</v>
      </c>
      <c r="W128" s="245">
        <f t="shared" si="9"/>
        <v>0</v>
      </c>
      <c r="X128" s="183">
        <f>INT(SUM(W123:W128))</f>
        <v>0</v>
      </c>
    </row>
    <row r="129" spans="2:24">
      <c r="B129" s="214">
        <f t="shared" si="10"/>
        <v>44470</v>
      </c>
      <c r="C129" s="198">
        <f t="shared" si="6"/>
        <v>44440</v>
      </c>
      <c r="D129" s="209">
        <f>IF(B129&lt;'信用保険料計算書（上限2000万）'!$E$15,0,IF(B129&gt;'信用保険料計算書（上限2000万）'!$E$16,0,1))</f>
        <v>0</v>
      </c>
      <c r="E129" s="209">
        <f>IF(D129=1,HLOOKUP(C129,'計算書（第1回）'!$C$123:$U$124,2,TRUE),0)</f>
        <v>0</v>
      </c>
      <c r="F129" s="209">
        <f>IF('信用保険料計算書（上限2000万）'!$G$15="",0,IF($B129&lt;'信用保険料計算書（上限2000万）'!$G$15,0,IF($B129&gt;'信用保険料計算書（上限2000万）'!$G$16,0,1)))</f>
        <v>0</v>
      </c>
      <c r="G129" s="209">
        <f>IF(F129=1,HLOOKUP(C129,'計算書（第2回）'!$C$123:$U$124,2,TRUE),0)</f>
        <v>0</v>
      </c>
      <c r="H129" s="209">
        <f>IF('信用保険料計算書（上限2000万）'!$I$15="",0,IF($B129&lt;'信用保険料計算書（上限2000万）'!$I$15,0,IF($B129&gt;'信用保険料計算書（上限2000万）'!$I$16,0,1)))</f>
        <v>0</v>
      </c>
      <c r="I129" s="209">
        <f>IF(H129=1,HLOOKUP(C129,'計算書（第3回）'!$C$123:$U$124,2,TRUE),0)</f>
        <v>0</v>
      </c>
      <c r="J129" s="209">
        <f>IF('信用保険料計算書（上限2000万）'!$K$15="",0,IF($B129&lt;'信用保険料計算書（上限2000万）'!$K$15,0,IF($B129&gt;'信用保険料計算書（上限2000万）'!$K$16,0,1)))</f>
        <v>0</v>
      </c>
      <c r="K129" s="209">
        <f>IF(J129=1,HLOOKUP(C129,'計算書（第4回）'!$C$123:$U$124,2,TRUE),0)</f>
        <v>0</v>
      </c>
      <c r="L129" s="209">
        <f>IF('信用保険料計算書（上限2000万）'!$M$15="",0,IF($B129&lt;'信用保険料計算書（上限2000万）'!$M$15,0,IF($B129&gt;'信用保険料計算書（上限2000万）'!$M$16,0,1)))</f>
        <v>0</v>
      </c>
      <c r="M129" s="209">
        <f>IF(L129=1,HLOOKUP(C129,'計算書（第5回）'!$C$123:$U$124,2,TRUE),0)</f>
        <v>0</v>
      </c>
      <c r="N129" s="209">
        <f>IF('信用保険料計算書（上限2000万）'!$O$15="",0,IF($B129&lt;'信用保険料計算書（上限2000万）'!$O$15,0,IF($B129&gt;'信用保険料計算書（上限2000万）'!$O$16,0,1)))</f>
        <v>0</v>
      </c>
      <c r="O129" s="209">
        <f>IF(N129=1,HLOOKUP(C129,'計算書（第6回）'!$C$123:$U$124,2,TRUE),0)</f>
        <v>0</v>
      </c>
      <c r="P129" s="209">
        <f>IF('信用保険料計算書（上限2000万）'!$Q$15="",0,IF($B129&lt;'信用保険料計算書（上限2000万）'!$Q$15,0,IF($B129&gt;'信用保険料計算書（上限2000万）'!$Q$16,0,1)))</f>
        <v>0</v>
      </c>
      <c r="Q129" s="209">
        <f>IF(P129=1,HLOOKUP(C129,'計算書（第7回）'!$C$123:$U$124,2,TRUE),0)</f>
        <v>0</v>
      </c>
      <c r="R129" s="213"/>
      <c r="S129" s="211">
        <f>COUNTIF($AB$13:$AB$19,"&lt;=2021/10/1")</f>
        <v>0</v>
      </c>
      <c r="T129" s="178" t="e">
        <f t="shared" si="11"/>
        <v>#NUM!</v>
      </c>
      <c r="U129" s="181">
        <f t="shared" si="7"/>
        <v>0</v>
      </c>
      <c r="V129" s="182">
        <f t="shared" si="12"/>
        <v>0</v>
      </c>
      <c r="W129" s="245">
        <f t="shared" si="9"/>
        <v>0</v>
      </c>
      <c r="X129" s="182"/>
    </row>
    <row r="130" spans="2:24">
      <c r="B130" s="214">
        <f t="shared" si="10"/>
        <v>44501</v>
      </c>
      <c r="C130" s="198">
        <f t="shared" si="6"/>
        <v>44470</v>
      </c>
      <c r="D130" s="209">
        <f>IF(B130&lt;'信用保険料計算書（上限2000万）'!$E$15,0,IF(B130&gt;'信用保険料計算書（上限2000万）'!$E$16,0,1))</f>
        <v>0</v>
      </c>
      <c r="E130" s="209">
        <f>IF(D130=1,HLOOKUP(C130,'計算書（第1回）'!$C$123:$U$124,2,TRUE),0)</f>
        <v>0</v>
      </c>
      <c r="F130" s="209">
        <f>IF('信用保険料計算書（上限2000万）'!$G$15="",0,IF($B130&lt;'信用保険料計算書（上限2000万）'!$G$15,0,IF($B130&gt;'信用保険料計算書（上限2000万）'!$G$16,0,1)))</f>
        <v>0</v>
      </c>
      <c r="G130" s="209">
        <f>IF(F130=1,HLOOKUP(C130,'計算書（第2回）'!$C$123:$U$124,2,TRUE),0)</f>
        <v>0</v>
      </c>
      <c r="H130" s="209">
        <f>IF('信用保険料計算書（上限2000万）'!$I$15="",0,IF($B130&lt;'信用保険料計算書（上限2000万）'!$I$15,0,IF($B130&gt;'信用保険料計算書（上限2000万）'!$I$16,0,1)))</f>
        <v>0</v>
      </c>
      <c r="I130" s="209">
        <f>IF(H130=1,HLOOKUP(C130,'計算書（第3回）'!$C$123:$U$124,2,TRUE),0)</f>
        <v>0</v>
      </c>
      <c r="J130" s="209">
        <f>IF('信用保険料計算書（上限2000万）'!$K$15="",0,IF($B130&lt;'信用保険料計算書（上限2000万）'!$K$15,0,IF($B130&gt;'信用保険料計算書（上限2000万）'!$K$16,0,1)))</f>
        <v>0</v>
      </c>
      <c r="K130" s="209">
        <f>IF(J130=1,HLOOKUP(C130,'計算書（第4回）'!$C$123:$U$124,2,TRUE),0)</f>
        <v>0</v>
      </c>
      <c r="L130" s="209">
        <f>IF('信用保険料計算書（上限2000万）'!$M$15="",0,IF($B130&lt;'信用保険料計算書（上限2000万）'!$M$15,0,IF($B130&gt;'信用保険料計算書（上限2000万）'!$M$16,0,1)))</f>
        <v>0</v>
      </c>
      <c r="M130" s="209">
        <f>IF(L130=1,HLOOKUP(C130,'計算書（第5回）'!$C$123:$U$124,2,TRUE),0)</f>
        <v>0</v>
      </c>
      <c r="N130" s="209">
        <f>IF('信用保険料計算書（上限2000万）'!$O$15="",0,IF($B130&lt;'信用保険料計算書（上限2000万）'!$O$15,0,IF($B130&gt;'信用保険料計算書（上限2000万）'!$O$16,0,1)))</f>
        <v>0</v>
      </c>
      <c r="O130" s="209">
        <f>IF(N130=1,HLOOKUP(C130,'計算書（第6回）'!$C$123:$U$124,2,TRUE),0)</f>
        <v>0</v>
      </c>
      <c r="P130" s="209">
        <f>IF('信用保険料計算書（上限2000万）'!$Q$15="",0,IF($B130&lt;'信用保険料計算書（上限2000万）'!$Q$15,0,IF($B130&gt;'信用保険料計算書（上限2000万）'!$Q$16,0,1)))</f>
        <v>0</v>
      </c>
      <c r="Q130" s="209">
        <f>IF(P130=1,HLOOKUP(C130,'計算書（第7回）'!$C$123:$U$124,2,TRUE),0)</f>
        <v>0</v>
      </c>
      <c r="R130" s="213"/>
      <c r="S130" s="211">
        <f>COUNTIF($AB$13:$AB$19,"&lt;=2021/11/1")</f>
        <v>0</v>
      </c>
      <c r="T130" s="178" t="e">
        <f t="shared" si="11"/>
        <v>#NUM!</v>
      </c>
      <c r="U130" s="181">
        <f t="shared" si="7"/>
        <v>0</v>
      </c>
      <c r="V130" s="182">
        <f t="shared" si="12"/>
        <v>0</v>
      </c>
      <c r="W130" s="245">
        <f t="shared" si="9"/>
        <v>0</v>
      </c>
      <c r="X130" s="182"/>
    </row>
    <row r="131" spans="2:24">
      <c r="B131" s="214">
        <f t="shared" si="10"/>
        <v>44531</v>
      </c>
      <c r="C131" s="198">
        <f t="shared" ref="C131:C194" si="13">EDATE(B131,-1)</f>
        <v>44501</v>
      </c>
      <c r="D131" s="209">
        <f>IF(B131&lt;'信用保険料計算書（上限2000万）'!$E$15,0,IF(B131&gt;'信用保険料計算書（上限2000万）'!$E$16,0,1))</f>
        <v>0</v>
      </c>
      <c r="E131" s="209">
        <f>IF(D131=1,HLOOKUP(C131,'計算書（第1回）'!$C$123:$U$124,2,TRUE),0)</f>
        <v>0</v>
      </c>
      <c r="F131" s="209">
        <f>IF('信用保険料計算書（上限2000万）'!$G$15="",0,IF($B131&lt;'信用保険料計算書（上限2000万）'!$G$15,0,IF($B131&gt;'信用保険料計算書（上限2000万）'!$G$16,0,1)))</f>
        <v>0</v>
      </c>
      <c r="G131" s="209">
        <f>IF(F131=1,HLOOKUP(C131,'計算書（第2回）'!$C$123:$U$124,2,TRUE),0)</f>
        <v>0</v>
      </c>
      <c r="H131" s="209">
        <f>IF('信用保険料計算書（上限2000万）'!$I$15="",0,IF($B131&lt;'信用保険料計算書（上限2000万）'!$I$15,0,IF($B131&gt;'信用保険料計算書（上限2000万）'!$I$16,0,1)))</f>
        <v>0</v>
      </c>
      <c r="I131" s="209">
        <f>IF(H131=1,HLOOKUP(C131,'計算書（第3回）'!$C$123:$U$124,2,TRUE),0)</f>
        <v>0</v>
      </c>
      <c r="J131" s="209">
        <f>IF('信用保険料計算書（上限2000万）'!$K$15="",0,IF($B131&lt;'信用保険料計算書（上限2000万）'!$K$15,0,IF($B131&gt;'信用保険料計算書（上限2000万）'!$K$16,0,1)))</f>
        <v>0</v>
      </c>
      <c r="K131" s="209">
        <f>IF(J131=1,HLOOKUP(C131,'計算書（第4回）'!$C$123:$U$124,2,TRUE),0)</f>
        <v>0</v>
      </c>
      <c r="L131" s="209">
        <f>IF('信用保険料計算書（上限2000万）'!$M$15="",0,IF($B131&lt;'信用保険料計算書（上限2000万）'!$M$15,0,IF($B131&gt;'信用保険料計算書（上限2000万）'!$M$16,0,1)))</f>
        <v>0</v>
      </c>
      <c r="M131" s="209">
        <f>IF(L131=1,HLOOKUP(C131,'計算書（第5回）'!$C$123:$U$124,2,TRUE),0)</f>
        <v>0</v>
      </c>
      <c r="N131" s="209">
        <f>IF('信用保険料計算書（上限2000万）'!$O$15="",0,IF($B131&lt;'信用保険料計算書（上限2000万）'!$O$15,0,IF($B131&gt;'信用保険料計算書（上限2000万）'!$O$16,0,1)))</f>
        <v>0</v>
      </c>
      <c r="O131" s="209">
        <f>IF(N131=1,HLOOKUP(C131,'計算書（第6回）'!$C$123:$U$124,2,TRUE),0)</f>
        <v>0</v>
      </c>
      <c r="P131" s="209">
        <f>IF('信用保険料計算書（上限2000万）'!$Q$15="",0,IF($B131&lt;'信用保険料計算書（上限2000万）'!$Q$15,0,IF($B131&gt;'信用保険料計算書（上限2000万）'!$Q$16,0,1)))</f>
        <v>0</v>
      </c>
      <c r="Q131" s="209">
        <f>IF(P131=1,HLOOKUP(C131,'計算書（第7回）'!$C$123:$U$124,2,TRUE),0)</f>
        <v>0</v>
      </c>
      <c r="R131" s="213"/>
      <c r="S131" s="211">
        <f>COUNTIF($AB$13:$AB$19,"&lt;=2021/12/1")</f>
        <v>0</v>
      </c>
      <c r="T131" s="178" t="e">
        <f t="shared" si="11"/>
        <v>#NUM!</v>
      </c>
      <c r="U131" s="181">
        <f t="shared" ref="U131:U194" si="14">E131+G131+I131+K131+M131+O131+Q131</f>
        <v>0</v>
      </c>
      <c r="V131" s="182">
        <f t="shared" si="12"/>
        <v>0</v>
      </c>
      <c r="W131" s="245">
        <f t="shared" ref="W131:W133" si="15">IF(V131=0,0,ROUNDDOWN(V131*0.005/12,2))</f>
        <v>0</v>
      </c>
      <c r="X131" s="182"/>
    </row>
    <row r="132" spans="2:24">
      <c r="B132" s="214">
        <f t="shared" ref="B132:B195" si="16">EDATE(B131,1)</f>
        <v>44562</v>
      </c>
      <c r="C132" s="198">
        <f t="shared" si="13"/>
        <v>44531</v>
      </c>
      <c r="D132" s="209">
        <f>IF(B132&lt;'信用保険料計算書（上限2000万）'!$E$15,0,IF(B132&gt;'信用保険料計算書（上限2000万）'!$E$16,0,1))</f>
        <v>0</v>
      </c>
      <c r="E132" s="209">
        <f>IF(D132=1,HLOOKUP(C132,'計算書（第1回）'!$C$123:$U$124,2,TRUE),0)</f>
        <v>0</v>
      </c>
      <c r="F132" s="209">
        <f>IF('信用保険料計算書（上限2000万）'!$G$15="",0,IF($B132&lt;'信用保険料計算書（上限2000万）'!$G$15,0,IF($B132&gt;'信用保険料計算書（上限2000万）'!$G$16,0,1)))</f>
        <v>0</v>
      </c>
      <c r="G132" s="209">
        <f>IF(F132=1,HLOOKUP(C132,'計算書（第2回）'!$C$123:$U$124,2,TRUE),0)</f>
        <v>0</v>
      </c>
      <c r="H132" s="209">
        <f>IF('信用保険料計算書（上限2000万）'!$I$15="",0,IF($B132&lt;'信用保険料計算書（上限2000万）'!$I$15,0,IF($B132&gt;'信用保険料計算書（上限2000万）'!$I$16,0,1)))</f>
        <v>0</v>
      </c>
      <c r="I132" s="209">
        <f>IF(H132=1,HLOOKUP(C132,'計算書（第3回）'!$C$123:$U$124,2,TRUE),0)</f>
        <v>0</v>
      </c>
      <c r="J132" s="209">
        <f>IF('信用保険料計算書（上限2000万）'!$K$15="",0,IF($B132&lt;'信用保険料計算書（上限2000万）'!$K$15,0,IF($B132&gt;'信用保険料計算書（上限2000万）'!$K$16,0,1)))</f>
        <v>0</v>
      </c>
      <c r="K132" s="209">
        <f>IF(J132=1,HLOOKUP(C132,'計算書（第4回）'!$C$123:$U$124,2,TRUE),0)</f>
        <v>0</v>
      </c>
      <c r="L132" s="209">
        <f>IF('信用保険料計算書（上限2000万）'!$M$15="",0,IF($B132&lt;'信用保険料計算書（上限2000万）'!$M$15,0,IF($B132&gt;'信用保険料計算書（上限2000万）'!$M$16,0,1)))</f>
        <v>0</v>
      </c>
      <c r="M132" s="209">
        <f>IF(L132=1,HLOOKUP(C132,'計算書（第5回）'!$C$123:$U$124,2,TRUE),0)</f>
        <v>0</v>
      </c>
      <c r="N132" s="209">
        <f>IF('信用保険料計算書（上限2000万）'!$O$15="",0,IF($B132&lt;'信用保険料計算書（上限2000万）'!$O$15,0,IF($B132&gt;'信用保険料計算書（上限2000万）'!$O$16,0,1)))</f>
        <v>0</v>
      </c>
      <c r="O132" s="209">
        <f>IF(N132=1,HLOOKUP(C132,'計算書（第6回）'!$C$123:$U$124,2,TRUE),0)</f>
        <v>0</v>
      </c>
      <c r="P132" s="209">
        <f>IF('信用保険料計算書（上限2000万）'!$Q$15="",0,IF($B132&lt;'信用保険料計算書（上限2000万）'!$Q$15,0,IF($B132&gt;'信用保険料計算書（上限2000万）'!$Q$16,0,1)))</f>
        <v>0</v>
      </c>
      <c r="Q132" s="209">
        <f>IF(P132=1,HLOOKUP(C132,'計算書（第7回）'!$C$123:$U$124,2,TRUE),0)</f>
        <v>0</v>
      </c>
      <c r="R132" s="212"/>
      <c r="S132" s="211">
        <f>COUNTIF($AB$13:$AB$19,"&lt;=2022/1/1")</f>
        <v>0</v>
      </c>
      <c r="T132" s="178" t="e">
        <f t="shared" ref="T132:T195" si="17">IF(S132="","",SMALL($AB$13:$AB$19,$S132))</f>
        <v>#NUM!</v>
      </c>
      <c r="U132" s="181">
        <f t="shared" si="14"/>
        <v>0</v>
      </c>
      <c r="V132" s="182">
        <f t="shared" si="12"/>
        <v>0</v>
      </c>
      <c r="W132" s="245">
        <f t="shared" si="15"/>
        <v>0</v>
      </c>
      <c r="X132" s="182"/>
    </row>
    <row r="133" spans="2:24">
      <c r="B133" s="214">
        <f t="shared" si="16"/>
        <v>44593</v>
      </c>
      <c r="C133" s="198">
        <f t="shared" si="13"/>
        <v>44562</v>
      </c>
      <c r="D133" s="209">
        <f>IF(B133&lt;'信用保険料計算書（上限2000万）'!$E$15,0,IF(B133&gt;'信用保険料計算書（上限2000万）'!$E$16,0,1))</f>
        <v>0</v>
      </c>
      <c r="E133" s="209">
        <f>IF(D133=1,HLOOKUP(C133,'計算書（第1回）'!$C$123:$U$124,2,TRUE),0)</f>
        <v>0</v>
      </c>
      <c r="F133" s="209">
        <f>IF('信用保険料計算書（上限2000万）'!$G$15="",0,IF($B133&lt;'信用保険料計算書（上限2000万）'!$G$15,0,IF($B133&gt;'信用保険料計算書（上限2000万）'!$G$16,0,1)))</f>
        <v>0</v>
      </c>
      <c r="G133" s="209">
        <f>IF(F133=1,HLOOKUP(C133,'計算書（第2回）'!$C$123:$U$124,2,TRUE),0)</f>
        <v>0</v>
      </c>
      <c r="H133" s="209">
        <f>IF('信用保険料計算書（上限2000万）'!$I$15="",0,IF($B133&lt;'信用保険料計算書（上限2000万）'!$I$15,0,IF($B133&gt;'信用保険料計算書（上限2000万）'!$I$16,0,1)))</f>
        <v>0</v>
      </c>
      <c r="I133" s="209">
        <f>IF(H133=1,HLOOKUP(C133,'計算書（第3回）'!$C$123:$U$124,2,TRUE),0)</f>
        <v>0</v>
      </c>
      <c r="J133" s="209">
        <f>IF('信用保険料計算書（上限2000万）'!$K$15="",0,IF($B133&lt;'信用保険料計算書（上限2000万）'!$K$15,0,IF($B133&gt;'信用保険料計算書（上限2000万）'!$K$16,0,1)))</f>
        <v>0</v>
      </c>
      <c r="K133" s="209">
        <f>IF(J133=1,HLOOKUP(C133,'計算書（第4回）'!$C$123:$U$124,2,TRUE),0)</f>
        <v>0</v>
      </c>
      <c r="L133" s="209">
        <f>IF('信用保険料計算書（上限2000万）'!$M$15="",0,IF($B133&lt;'信用保険料計算書（上限2000万）'!$M$15,0,IF($B133&gt;'信用保険料計算書（上限2000万）'!$M$16,0,1)))</f>
        <v>0</v>
      </c>
      <c r="M133" s="209">
        <f>IF(L133=1,HLOOKUP(C133,'計算書（第5回）'!$C$123:$U$124,2,TRUE),0)</f>
        <v>0</v>
      </c>
      <c r="N133" s="209">
        <f>IF('信用保険料計算書（上限2000万）'!$O$15="",0,IF($B133&lt;'信用保険料計算書（上限2000万）'!$O$15,0,IF($B133&gt;'信用保険料計算書（上限2000万）'!$O$16,0,1)))</f>
        <v>0</v>
      </c>
      <c r="O133" s="209">
        <f>IF(N133=1,HLOOKUP(C133,'計算書（第6回）'!$C$123:$U$124,2,TRUE),0)</f>
        <v>0</v>
      </c>
      <c r="P133" s="209">
        <f>IF('信用保険料計算書（上限2000万）'!$Q$15="",0,IF($B133&lt;'信用保険料計算書（上限2000万）'!$Q$15,0,IF($B133&gt;'信用保険料計算書（上限2000万）'!$Q$16,0,1)))</f>
        <v>0</v>
      </c>
      <c r="Q133" s="209">
        <f>IF(P133=1,HLOOKUP(C133,'計算書（第7回）'!$C$123:$U$124,2,TRUE),0)</f>
        <v>0</v>
      </c>
      <c r="R133" s="212"/>
      <c r="S133" s="211">
        <f>COUNTIF($AB$13:$AB$19,"&lt;=2022/2/1")</f>
        <v>0</v>
      </c>
      <c r="T133" s="178" t="e">
        <f t="shared" si="17"/>
        <v>#NUM!</v>
      </c>
      <c r="U133" s="181">
        <f t="shared" si="14"/>
        <v>0</v>
      </c>
      <c r="V133" s="182">
        <f t="shared" si="12"/>
        <v>0</v>
      </c>
      <c r="W133" s="245">
        <f t="shared" si="15"/>
        <v>0</v>
      </c>
      <c r="X133" s="182"/>
    </row>
    <row r="134" spans="2:24">
      <c r="B134" s="214">
        <f t="shared" si="16"/>
        <v>44621</v>
      </c>
      <c r="C134" s="198">
        <f t="shared" si="13"/>
        <v>44593</v>
      </c>
      <c r="D134" s="209">
        <f>IF(B134&lt;'信用保険料計算書（上限2000万）'!$E$15,0,IF(B134&gt;'信用保険料計算書（上限2000万）'!$E$16,0,1))</f>
        <v>0</v>
      </c>
      <c r="E134" s="209">
        <f>IF(D134=1,HLOOKUP(C134,'計算書（第1回）'!$C$123:$U$124,2,TRUE),0)</f>
        <v>0</v>
      </c>
      <c r="F134" s="209">
        <f>IF('信用保険料計算書（上限2000万）'!$G$15="",0,IF($B134&lt;'信用保険料計算書（上限2000万）'!$G$15,0,IF($B134&gt;'信用保険料計算書（上限2000万）'!$G$16,0,1)))</f>
        <v>0</v>
      </c>
      <c r="G134" s="209">
        <f>IF(F134=1,HLOOKUP(C134,'計算書（第2回）'!$C$123:$U$124,2,TRUE),0)</f>
        <v>0</v>
      </c>
      <c r="H134" s="209">
        <f>IF('信用保険料計算書（上限2000万）'!$I$15="",0,IF($B134&lt;'信用保険料計算書（上限2000万）'!$I$15,0,IF($B134&gt;'信用保険料計算書（上限2000万）'!$I$16,0,1)))</f>
        <v>0</v>
      </c>
      <c r="I134" s="209">
        <f>IF(H134=1,HLOOKUP(C134,'計算書（第3回）'!$C$123:$U$124,2,TRUE),0)</f>
        <v>0</v>
      </c>
      <c r="J134" s="209">
        <f>IF('信用保険料計算書（上限2000万）'!$K$15="",0,IF($B134&lt;'信用保険料計算書（上限2000万）'!$K$15,0,IF($B134&gt;'信用保険料計算書（上限2000万）'!$K$16,0,1)))</f>
        <v>0</v>
      </c>
      <c r="K134" s="209">
        <f>IF(J134=1,HLOOKUP(C134,'計算書（第4回）'!$C$123:$U$124,2,TRUE),0)</f>
        <v>0</v>
      </c>
      <c r="L134" s="209">
        <f>IF('信用保険料計算書（上限2000万）'!$M$15="",0,IF($B134&lt;'信用保険料計算書（上限2000万）'!$M$15,0,IF($B134&gt;'信用保険料計算書（上限2000万）'!$M$16,0,1)))</f>
        <v>0</v>
      </c>
      <c r="M134" s="209">
        <f>IF(L134=1,HLOOKUP(C134,'計算書（第5回）'!$C$123:$U$124,2,TRUE),0)</f>
        <v>0</v>
      </c>
      <c r="N134" s="209">
        <f>IF('信用保険料計算書（上限2000万）'!$O$15="",0,IF($B134&lt;'信用保険料計算書（上限2000万）'!$O$15,0,IF($B134&gt;'信用保険料計算書（上限2000万）'!$O$16,0,1)))</f>
        <v>0</v>
      </c>
      <c r="O134" s="209">
        <f>IF(N134=1,HLOOKUP(C134,'計算書（第6回）'!$C$123:$U$124,2,TRUE),0)</f>
        <v>0</v>
      </c>
      <c r="P134" s="209">
        <f>IF('信用保険料計算書（上限2000万）'!$Q$15="",0,IF($B134&lt;'信用保険料計算書（上限2000万）'!$Q$15,0,IF($B134&gt;'信用保険料計算書（上限2000万）'!$Q$16,0,1)))</f>
        <v>0</v>
      </c>
      <c r="Q134" s="209">
        <f>IF(P134=1,HLOOKUP(C134,'計算書（第7回）'!$C$123:$U$124,2,TRUE),0)</f>
        <v>0</v>
      </c>
      <c r="R134" s="212"/>
      <c r="S134" s="211">
        <f>COUNTIF($AB$13:$AB$19,"&lt;=2022/3/1")</f>
        <v>0</v>
      </c>
      <c r="T134" s="178" t="e">
        <f t="shared" si="17"/>
        <v>#NUM!</v>
      </c>
      <c r="U134" s="181">
        <f t="shared" si="14"/>
        <v>0</v>
      </c>
      <c r="V134" s="182">
        <f t="shared" si="12"/>
        <v>0</v>
      </c>
      <c r="W134" s="245">
        <f>IF(V134=0,0,ROUNDDOWN(V134*0.005/12,2))</f>
        <v>0</v>
      </c>
      <c r="X134" s="183">
        <f>INT(SUM(W129:W134))</f>
        <v>0</v>
      </c>
    </row>
    <row r="135" spans="2:24">
      <c r="B135" s="214">
        <f t="shared" si="16"/>
        <v>44652</v>
      </c>
      <c r="C135" s="198">
        <f t="shared" si="13"/>
        <v>44621</v>
      </c>
      <c r="D135" s="209">
        <f>IF(B135&lt;'信用保険料計算書（上限2000万）'!$E$15,0,IF(B135&gt;'信用保険料計算書（上限2000万）'!$E$16,0,1))</f>
        <v>1</v>
      </c>
      <c r="E135" s="209">
        <f>IF(D135=1,HLOOKUP(C135,'計算書（第1回）'!$C$123:$U$124,2,TRUE),0)</f>
        <v>550000</v>
      </c>
      <c r="F135" s="209">
        <f>IF('信用保険料計算書（上限2000万）'!$G$15="",0,IF($B135&lt;'信用保険料計算書（上限2000万）'!$G$15,0,IF($B135&gt;'信用保険料計算書（上限2000万）'!$G$16,0,1)))</f>
        <v>0</v>
      </c>
      <c r="G135" s="209">
        <f>IF(F135=1,HLOOKUP(C135,'計算書（第2回）'!$C$123:$U$124,2,TRUE),0)</f>
        <v>0</v>
      </c>
      <c r="H135" s="209">
        <f>IF('信用保険料計算書（上限2000万）'!$I$15="",0,IF($B135&lt;'信用保険料計算書（上限2000万）'!$I$15,0,IF($B135&gt;'信用保険料計算書（上限2000万）'!$I$16,0,1)))</f>
        <v>0</v>
      </c>
      <c r="I135" s="209">
        <f>IF(H135=1,HLOOKUP(C135,'計算書（第3回）'!$C$123:$U$124,2,TRUE),0)</f>
        <v>0</v>
      </c>
      <c r="J135" s="209">
        <f>IF('信用保険料計算書（上限2000万）'!$K$15="",0,IF($B135&lt;'信用保険料計算書（上限2000万）'!$K$15,0,IF($B135&gt;'信用保険料計算書（上限2000万）'!$K$16,0,1)))</f>
        <v>0</v>
      </c>
      <c r="K135" s="209">
        <f>IF(J135=1,HLOOKUP(C135,'計算書（第4回）'!$C$123:$U$124,2,TRUE),0)</f>
        <v>0</v>
      </c>
      <c r="L135" s="209">
        <f>IF('信用保険料計算書（上限2000万）'!$M$15="",0,IF($B135&lt;'信用保険料計算書（上限2000万）'!$M$15,0,IF($B135&gt;'信用保険料計算書（上限2000万）'!$M$16,0,1)))</f>
        <v>0</v>
      </c>
      <c r="M135" s="209">
        <f>IF(L135=1,HLOOKUP(C135,'計算書（第5回）'!$C$123:$U$124,2,TRUE),0)</f>
        <v>0</v>
      </c>
      <c r="N135" s="209">
        <f>IF('信用保険料計算書（上限2000万）'!$O$15="",0,IF($B135&lt;'信用保険料計算書（上限2000万）'!$O$15,0,IF($B135&gt;'信用保険料計算書（上限2000万）'!$O$16,0,1)))</f>
        <v>0</v>
      </c>
      <c r="O135" s="209">
        <f>IF(N135=1,HLOOKUP(C135,'計算書（第6回）'!$C$123:$U$124,2,TRUE),0)</f>
        <v>0</v>
      </c>
      <c r="P135" s="209">
        <f>IF('信用保険料計算書（上限2000万）'!$Q$15="",0,IF($B135&lt;'信用保険料計算書（上限2000万）'!$Q$15,0,IF($B135&gt;'信用保険料計算書（上限2000万）'!$Q$16,0,1)))</f>
        <v>0</v>
      </c>
      <c r="Q135" s="209">
        <f>IF(P135=1,HLOOKUP(C135,'計算書（第7回）'!$C$123:$U$124,2,TRUE),0)</f>
        <v>0</v>
      </c>
      <c r="R135" s="212"/>
      <c r="S135" s="211">
        <f>COUNTIF($AB$13:$AB$19,"&lt;=2022/4/1")</f>
        <v>1</v>
      </c>
      <c r="T135" s="178">
        <f t="shared" si="17"/>
        <v>44652</v>
      </c>
      <c r="U135" s="181">
        <f t="shared" si="14"/>
        <v>550000</v>
      </c>
      <c r="V135" s="182">
        <f t="shared" si="12"/>
        <v>550000</v>
      </c>
      <c r="W135" s="245">
        <f t="shared" ref="W132:W195" si="18">IF(V135=0,0,ROUNDDOWN(V135*0.0048/12,2))</f>
        <v>220</v>
      </c>
      <c r="X135" s="182"/>
    </row>
    <row r="136" spans="2:24">
      <c r="B136" s="214">
        <f t="shared" si="16"/>
        <v>44682</v>
      </c>
      <c r="C136" s="198">
        <f t="shared" si="13"/>
        <v>44652</v>
      </c>
      <c r="D136" s="209">
        <f>IF(B136&lt;'信用保険料計算書（上限2000万）'!$E$15,0,IF(B136&gt;'信用保険料計算書（上限2000万）'!$E$16,0,1))</f>
        <v>1</v>
      </c>
      <c r="E136" s="209">
        <f>IF(D136=1,HLOOKUP(C136,'計算書（第1回）'!$C$123:$U$124,2,TRUE),0)</f>
        <v>550000</v>
      </c>
      <c r="F136" s="209">
        <f>IF('信用保険料計算書（上限2000万）'!$G$15="",0,IF($B136&lt;'信用保険料計算書（上限2000万）'!$G$15,0,IF($B136&gt;'信用保険料計算書（上限2000万）'!$G$16,0,1)))</f>
        <v>0</v>
      </c>
      <c r="G136" s="209">
        <f>IF(F136=1,HLOOKUP(C136,'計算書（第2回）'!$C$123:$U$124,2,TRUE),0)</f>
        <v>0</v>
      </c>
      <c r="H136" s="209">
        <f>IF('信用保険料計算書（上限2000万）'!$I$15="",0,IF($B136&lt;'信用保険料計算書（上限2000万）'!$I$15,0,IF($B136&gt;'信用保険料計算書（上限2000万）'!$I$16,0,1)))</f>
        <v>0</v>
      </c>
      <c r="I136" s="209">
        <f>IF(H136=1,HLOOKUP(C136,'計算書（第3回）'!$C$123:$U$124,2,TRUE),0)</f>
        <v>0</v>
      </c>
      <c r="J136" s="209">
        <f>IF('信用保険料計算書（上限2000万）'!$K$15="",0,IF($B136&lt;'信用保険料計算書（上限2000万）'!$K$15,0,IF($B136&gt;'信用保険料計算書（上限2000万）'!$K$16,0,1)))</f>
        <v>0</v>
      </c>
      <c r="K136" s="209">
        <f>IF(J136=1,HLOOKUP(C136,'計算書（第4回）'!$C$123:$U$124,2,TRUE),0)</f>
        <v>0</v>
      </c>
      <c r="L136" s="209">
        <f>IF('信用保険料計算書（上限2000万）'!$M$15="",0,IF($B136&lt;'信用保険料計算書（上限2000万）'!$M$15,0,IF($B136&gt;'信用保険料計算書（上限2000万）'!$M$16,0,1)))</f>
        <v>0</v>
      </c>
      <c r="M136" s="209">
        <f>IF(L136=1,HLOOKUP(C136,'計算書（第5回）'!$C$123:$U$124,2,TRUE),0)</f>
        <v>0</v>
      </c>
      <c r="N136" s="209">
        <f>IF('信用保険料計算書（上限2000万）'!$O$15="",0,IF($B136&lt;'信用保険料計算書（上限2000万）'!$O$15,0,IF($B136&gt;'信用保険料計算書（上限2000万）'!$O$16,0,1)))</f>
        <v>0</v>
      </c>
      <c r="O136" s="209">
        <f>IF(N136=1,HLOOKUP(C136,'計算書（第6回）'!$C$123:$U$124,2,TRUE),0)</f>
        <v>0</v>
      </c>
      <c r="P136" s="209">
        <f>IF('信用保険料計算書（上限2000万）'!$Q$15="",0,IF($B136&lt;'信用保険料計算書（上限2000万）'!$Q$15,0,IF($B136&gt;'信用保険料計算書（上限2000万）'!$Q$16,0,1)))</f>
        <v>0</v>
      </c>
      <c r="Q136" s="209">
        <f>IF(P136=1,HLOOKUP(C136,'計算書（第7回）'!$C$123:$U$124,2,TRUE),0)</f>
        <v>0</v>
      </c>
      <c r="R136" s="212"/>
      <c r="S136" s="211">
        <f>COUNTIF($AB$13:$AB$19,"&lt;=2022/5/1")</f>
        <v>1</v>
      </c>
      <c r="T136" s="178">
        <f t="shared" si="17"/>
        <v>44652</v>
      </c>
      <c r="U136" s="181">
        <f t="shared" si="14"/>
        <v>550000</v>
      </c>
      <c r="V136" s="182">
        <f t="shared" si="12"/>
        <v>550000</v>
      </c>
      <c r="W136" s="245">
        <f t="shared" si="18"/>
        <v>220</v>
      </c>
      <c r="X136" s="182"/>
    </row>
    <row r="137" spans="2:24">
      <c r="B137" s="214">
        <f t="shared" si="16"/>
        <v>44713</v>
      </c>
      <c r="C137" s="198">
        <f t="shared" si="13"/>
        <v>44682</v>
      </c>
      <c r="D137" s="209">
        <f>IF(B137&lt;'信用保険料計算書（上限2000万）'!$E$15,0,IF(B137&gt;'信用保険料計算書（上限2000万）'!$E$16,0,1))</f>
        <v>1</v>
      </c>
      <c r="E137" s="209">
        <f>IF(D137=1,HLOOKUP(C137,'計算書（第1回）'!$C$123:$U$124,2,TRUE),0)</f>
        <v>550000</v>
      </c>
      <c r="F137" s="209">
        <f>IF('信用保険料計算書（上限2000万）'!$G$15="",0,IF($B137&lt;'信用保険料計算書（上限2000万）'!$G$15,0,IF($B137&gt;'信用保険料計算書（上限2000万）'!$G$16,0,1)))</f>
        <v>0</v>
      </c>
      <c r="G137" s="209">
        <f>IF(F137=1,HLOOKUP(C137,'計算書（第2回）'!$C$123:$U$124,2,TRUE),0)</f>
        <v>0</v>
      </c>
      <c r="H137" s="209">
        <f>IF('信用保険料計算書（上限2000万）'!$I$15="",0,IF($B137&lt;'信用保険料計算書（上限2000万）'!$I$15,0,IF($B137&gt;'信用保険料計算書（上限2000万）'!$I$16,0,1)))</f>
        <v>0</v>
      </c>
      <c r="I137" s="209">
        <f>IF(H137=1,HLOOKUP(C137,'計算書（第3回）'!$C$123:$U$124,2,TRUE),0)</f>
        <v>0</v>
      </c>
      <c r="J137" s="209">
        <f>IF('信用保険料計算書（上限2000万）'!$K$15="",0,IF($B137&lt;'信用保険料計算書（上限2000万）'!$K$15,0,IF($B137&gt;'信用保険料計算書（上限2000万）'!$K$16,0,1)))</f>
        <v>0</v>
      </c>
      <c r="K137" s="209">
        <f>IF(J137=1,HLOOKUP(C137,'計算書（第4回）'!$C$123:$U$124,2,TRUE),0)</f>
        <v>0</v>
      </c>
      <c r="L137" s="209">
        <f>IF('信用保険料計算書（上限2000万）'!$M$15="",0,IF($B137&lt;'信用保険料計算書（上限2000万）'!$M$15,0,IF($B137&gt;'信用保険料計算書（上限2000万）'!$M$16,0,1)))</f>
        <v>0</v>
      </c>
      <c r="M137" s="209">
        <f>IF(L137=1,HLOOKUP(C137,'計算書（第5回）'!$C$123:$U$124,2,TRUE),0)</f>
        <v>0</v>
      </c>
      <c r="N137" s="209">
        <f>IF('信用保険料計算書（上限2000万）'!$O$15="",0,IF($B137&lt;'信用保険料計算書（上限2000万）'!$O$15,0,IF($B137&gt;'信用保険料計算書（上限2000万）'!$O$16,0,1)))</f>
        <v>0</v>
      </c>
      <c r="O137" s="209">
        <f>IF(N137=1,HLOOKUP(C137,'計算書（第6回）'!$C$123:$U$124,2,TRUE),0)</f>
        <v>0</v>
      </c>
      <c r="P137" s="209">
        <f>IF('信用保険料計算書（上限2000万）'!$Q$15="",0,IF($B137&lt;'信用保険料計算書（上限2000万）'!$Q$15,0,IF($B137&gt;'信用保険料計算書（上限2000万）'!$Q$16,0,1)))</f>
        <v>0</v>
      </c>
      <c r="Q137" s="209">
        <f>IF(P137=1,HLOOKUP(C137,'計算書（第7回）'!$C$123:$U$124,2,TRUE),0)</f>
        <v>0</v>
      </c>
      <c r="R137" s="212"/>
      <c r="S137" s="211">
        <f>COUNTIF($AB$13:$AB$19,"&lt;=2022/6/1")</f>
        <v>1</v>
      </c>
      <c r="T137" s="178">
        <f t="shared" si="17"/>
        <v>44652</v>
      </c>
      <c r="U137" s="181">
        <f t="shared" si="14"/>
        <v>550000</v>
      </c>
      <c r="V137" s="182">
        <f t="shared" si="12"/>
        <v>550000</v>
      </c>
      <c r="W137" s="245">
        <f t="shared" si="18"/>
        <v>220</v>
      </c>
      <c r="X137" s="182"/>
    </row>
    <row r="138" spans="2:24">
      <c r="B138" s="214">
        <f t="shared" si="16"/>
        <v>44743</v>
      </c>
      <c r="C138" s="198">
        <f t="shared" si="13"/>
        <v>44713</v>
      </c>
      <c r="D138" s="209">
        <f>IF(B138&lt;'信用保険料計算書（上限2000万）'!$E$15,0,IF(B138&gt;'信用保険料計算書（上限2000万）'!$E$16,0,1))</f>
        <v>1</v>
      </c>
      <c r="E138" s="209">
        <f>IF(D138=1,HLOOKUP(C138,'計算書（第1回）'!$C$123:$U$124,2,TRUE),0)</f>
        <v>550000</v>
      </c>
      <c r="F138" s="209">
        <f>IF('信用保険料計算書（上限2000万）'!$G$15="",0,IF($B138&lt;'信用保険料計算書（上限2000万）'!$G$15,0,IF($B138&gt;'信用保険料計算書（上限2000万）'!$G$16,0,1)))</f>
        <v>1</v>
      </c>
      <c r="G138" s="209">
        <f>IF(F138=1,HLOOKUP(C138,'計算書（第2回）'!$C$123:$U$124,2,TRUE),0)</f>
        <v>22000000</v>
      </c>
      <c r="H138" s="209">
        <f>IF('信用保険料計算書（上限2000万）'!$I$15="",0,IF($B138&lt;'信用保険料計算書（上限2000万）'!$I$15,0,IF($B138&gt;'信用保険料計算書（上限2000万）'!$I$16,0,1)))</f>
        <v>0</v>
      </c>
      <c r="I138" s="209">
        <f>IF(H138=1,HLOOKUP(C138,'計算書（第3回）'!$C$123:$U$124,2,TRUE),0)</f>
        <v>0</v>
      </c>
      <c r="J138" s="209">
        <f>IF('信用保険料計算書（上限2000万）'!$K$15="",0,IF($B138&lt;'信用保険料計算書（上限2000万）'!$K$15,0,IF($B138&gt;'信用保険料計算書（上限2000万）'!$K$16,0,1)))</f>
        <v>0</v>
      </c>
      <c r="K138" s="209">
        <f>IF(J138=1,HLOOKUP(C138,'計算書（第4回）'!$C$123:$U$124,2,TRUE),0)</f>
        <v>0</v>
      </c>
      <c r="L138" s="209">
        <f>IF('信用保険料計算書（上限2000万）'!$M$15="",0,IF($B138&lt;'信用保険料計算書（上限2000万）'!$M$15,0,IF($B138&gt;'信用保険料計算書（上限2000万）'!$M$16,0,1)))</f>
        <v>0</v>
      </c>
      <c r="M138" s="209">
        <f>IF(L138=1,HLOOKUP(C138,'計算書（第5回）'!$C$123:$U$124,2,TRUE),0)</f>
        <v>0</v>
      </c>
      <c r="N138" s="209">
        <f>IF('信用保険料計算書（上限2000万）'!$O$15="",0,IF($B138&lt;'信用保険料計算書（上限2000万）'!$O$15,0,IF($B138&gt;'信用保険料計算書（上限2000万）'!$O$16,0,1)))</f>
        <v>0</v>
      </c>
      <c r="O138" s="209">
        <f>IF(N138=1,HLOOKUP(C138,'計算書（第6回）'!$C$123:$U$124,2,TRUE),0)</f>
        <v>0</v>
      </c>
      <c r="P138" s="209">
        <f>IF('信用保険料計算書（上限2000万）'!$Q$15="",0,IF($B138&lt;'信用保険料計算書（上限2000万）'!$Q$15,0,IF($B138&gt;'信用保険料計算書（上限2000万）'!$Q$16,0,1)))</f>
        <v>0</v>
      </c>
      <c r="Q138" s="209">
        <f>IF(P138=1,HLOOKUP(C138,'計算書（第7回）'!$C$123:$U$124,2,TRUE),0)</f>
        <v>0</v>
      </c>
      <c r="R138" s="212"/>
      <c r="S138" s="211">
        <f>COUNTIF($AB$13:$AB$19,"&lt;=2022/7/1")</f>
        <v>2</v>
      </c>
      <c r="T138" s="178">
        <f t="shared" si="17"/>
        <v>44743</v>
      </c>
      <c r="U138" s="181">
        <f t="shared" si="14"/>
        <v>22550000</v>
      </c>
      <c r="V138" s="182">
        <f t="shared" si="12"/>
        <v>20000000</v>
      </c>
      <c r="W138" s="245">
        <f t="shared" si="18"/>
        <v>8000</v>
      </c>
      <c r="X138" s="182"/>
    </row>
    <row r="139" spans="2:24">
      <c r="B139" s="214">
        <f t="shared" si="16"/>
        <v>44774</v>
      </c>
      <c r="C139" s="198">
        <f t="shared" si="13"/>
        <v>44743</v>
      </c>
      <c r="D139" s="209">
        <f>IF(B139&lt;'信用保険料計算書（上限2000万）'!$E$15,0,IF(B139&gt;'信用保険料計算書（上限2000万）'!$E$16,0,1))</f>
        <v>1</v>
      </c>
      <c r="E139" s="209">
        <f>IF(D139=1,HLOOKUP(C139,'計算書（第1回）'!$C$123:$U$124,2,TRUE),0)</f>
        <v>550000</v>
      </c>
      <c r="F139" s="209">
        <f>IF('信用保険料計算書（上限2000万）'!$G$15="",0,IF($B139&lt;'信用保険料計算書（上限2000万）'!$G$15,0,IF($B139&gt;'信用保険料計算書（上限2000万）'!$G$16,0,1)))</f>
        <v>1</v>
      </c>
      <c r="G139" s="209">
        <f>IF(F139=1,HLOOKUP(C139,'計算書（第2回）'!$C$123:$U$124,2,TRUE),0)</f>
        <v>22000000</v>
      </c>
      <c r="H139" s="209">
        <f>IF('信用保険料計算書（上限2000万）'!$I$15="",0,IF($B139&lt;'信用保険料計算書（上限2000万）'!$I$15,0,IF($B139&gt;'信用保険料計算書（上限2000万）'!$I$16,0,1)))</f>
        <v>0</v>
      </c>
      <c r="I139" s="209">
        <f>IF(H139=1,HLOOKUP(C139,'計算書（第3回）'!$C$123:$U$124,2,TRUE),0)</f>
        <v>0</v>
      </c>
      <c r="J139" s="209">
        <f>IF('信用保険料計算書（上限2000万）'!$K$15="",0,IF($B139&lt;'信用保険料計算書（上限2000万）'!$K$15,0,IF($B139&gt;'信用保険料計算書（上限2000万）'!$K$16,0,1)))</f>
        <v>0</v>
      </c>
      <c r="K139" s="209">
        <f>IF(J139=1,HLOOKUP(C139,'計算書（第4回）'!$C$123:$U$124,2,TRUE),0)</f>
        <v>0</v>
      </c>
      <c r="L139" s="209">
        <f>IF('信用保険料計算書（上限2000万）'!$M$15="",0,IF($B139&lt;'信用保険料計算書（上限2000万）'!$M$15,0,IF($B139&gt;'信用保険料計算書（上限2000万）'!$M$16,0,1)))</f>
        <v>0</v>
      </c>
      <c r="M139" s="209">
        <f>IF(L139=1,HLOOKUP(C139,'計算書（第5回）'!$C$123:$U$124,2,TRUE),0)</f>
        <v>0</v>
      </c>
      <c r="N139" s="209">
        <f>IF('信用保険料計算書（上限2000万）'!$O$15="",0,IF($B139&lt;'信用保険料計算書（上限2000万）'!$O$15,0,IF($B139&gt;'信用保険料計算書（上限2000万）'!$O$16,0,1)))</f>
        <v>0</v>
      </c>
      <c r="O139" s="209">
        <f>IF(N139=1,HLOOKUP(C139,'計算書（第6回）'!$C$123:$U$124,2,TRUE),0)</f>
        <v>0</v>
      </c>
      <c r="P139" s="209">
        <f>IF('信用保険料計算書（上限2000万）'!$Q$15="",0,IF($B139&lt;'信用保険料計算書（上限2000万）'!$Q$15,0,IF($B139&gt;'信用保険料計算書（上限2000万）'!$Q$16,0,1)))</f>
        <v>0</v>
      </c>
      <c r="Q139" s="209">
        <f>IF(P139=1,HLOOKUP(C139,'計算書（第7回）'!$C$123:$U$124,2,TRUE),0)</f>
        <v>0</v>
      </c>
      <c r="R139" s="212"/>
      <c r="S139" s="211">
        <f>COUNTIF($AB$13:$AB$19,"&lt;=2022/8/1")</f>
        <v>2</v>
      </c>
      <c r="T139" s="178">
        <f t="shared" si="17"/>
        <v>44743</v>
      </c>
      <c r="U139" s="181">
        <f t="shared" si="14"/>
        <v>22550000</v>
      </c>
      <c r="V139" s="182">
        <f t="shared" si="12"/>
        <v>20000000</v>
      </c>
      <c r="W139" s="245">
        <f t="shared" si="18"/>
        <v>8000</v>
      </c>
      <c r="X139" s="182"/>
    </row>
    <row r="140" spans="2:24">
      <c r="B140" s="214">
        <f t="shared" si="16"/>
        <v>44805</v>
      </c>
      <c r="C140" s="198">
        <f t="shared" si="13"/>
        <v>44774</v>
      </c>
      <c r="D140" s="209">
        <f>IF(B140&lt;'信用保険料計算書（上限2000万）'!$E$15,0,IF(B140&gt;'信用保険料計算書（上限2000万）'!$E$16,0,1))</f>
        <v>1</v>
      </c>
      <c r="E140" s="209">
        <f>IF(D140=1,HLOOKUP(C140,'計算書（第1回）'!$C$123:$U$124,2,TRUE),0)</f>
        <v>550000</v>
      </c>
      <c r="F140" s="209">
        <f>IF('信用保険料計算書（上限2000万）'!$G$15="",0,IF($B140&lt;'信用保険料計算書（上限2000万）'!$G$15,0,IF($B140&gt;'信用保険料計算書（上限2000万）'!$G$16,0,1)))</f>
        <v>1</v>
      </c>
      <c r="G140" s="209">
        <f>IF(F140=1,HLOOKUP(C140,'計算書（第2回）'!$C$123:$U$124,2,TRUE),0)</f>
        <v>22000000</v>
      </c>
      <c r="H140" s="209">
        <f>IF('信用保険料計算書（上限2000万）'!$I$15="",0,IF($B140&lt;'信用保険料計算書（上限2000万）'!$I$15,0,IF($B140&gt;'信用保険料計算書（上限2000万）'!$I$16,0,1)))</f>
        <v>0</v>
      </c>
      <c r="I140" s="209">
        <f>IF(H140=1,HLOOKUP(C140,'計算書（第3回）'!$C$123:$U$124,2,TRUE),0)</f>
        <v>0</v>
      </c>
      <c r="J140" s="209">
        <f>IF('信用保険料計算書（上限2000万）'!$K$15="",0,IF($B140&lt;'信用保険料計算書（上限2000万）'!$K$15,0,IF($B140&gt;'信用保険料計算書（上限2000万）'!$K$16,0,1)))</f>
        <v>0</v>
      </c>
      <c r="K140" s="209">
        <f>IF(J140=1,HLOOKUP(C140,'計算書（第4回）'!$C$123:$U$124,2,TRUE),0)</f>
        <v>0</v>
      </c>
      <c r="L140" s="209">
        <f>IF('信用保険料計算書（上限2000万）'!$M$15="",0,IF($B140&lt;'信用保険料計算書（上限2000万）'!$M$15,0,IF($B140&gt;'信用保険料計算書（上限2000万）'!$M$16,0,1)))</f>
        <v>0</v>
      </c>
      <c r="M140" s="209">
        <f>IF(L140=1,HLOOKUP(C140,'計算書（第5回）'!$C$123:$U$124,2,TRUE),0)</f>
        <v>0</v>
      </c>
      <c r="N140" s="209">
        <f>IF('信用保険料計算書（上限2000万）'!$O$15="",0,IF($B140&lt;'信用保険料計算書（上限2000万）'!$O$15,0,IF($B140&gt;'信用保険料計算書（上限2000万）'!$O$16,0,1)))</f>
        <v>0</v>
      </c>
      <c r="O140" s="209">
        <f>IF(N140=1,HLOOKUP(C140,'計算書（第6回）'!$C$123:$U$124,2,TRUE),0)</f>
        <v>0</v>
      </c>
      <c r="P140" s="209">
        <f>IF('信用保険料計算書（上限2000万）'!$Q$15="",0,IF($B140&lt;'信用保険料計算書（上限2000万）'!$Q$15,0,IF($B140&gt;'信用保険料計算書（上限2000万）'!$Q$16,0,1)))</f>
        <v>0</v>
      </c>
      <c r="Q140" s="209">
        <f>IF(P140=1,HLOOKUP(C140,'計算書（第7回）'!$C$123:$U$124,2,TRUE),0)</f>
        <v>0</v>
      </c>
      <c r="R140" s="212"/>
      <c r="S140" s="211">
        <f>COUNTIF($AB$13:$AB$19,"&lt;=2022/9/1")</f>
        <v>2</v>
      </c>
      <c r="T140" s="178">
        <f t="shared" si="17"/>
        <v>44743</v>
      </c>
      <c r="U140" s="181">
        <f t="shared" si="14"/>
        <v>22550000</v>
      </c>
      <c r="V140" s="182">
        <f t="shared" si="12"/>
        <v>20000000</v>
      </c>
      <c r="W140" s="245">
        <f t="shared" si="18"/>
        <v>8000</v>
      </c>
      <c r="X140" s="183">
        <f>INT(SUM(W135:W140))</f>
        <v>24660</v>
      </c>
    </row>
    <row r="141" spans="2:24">
      <c r="B141" s="214">
        <f t="shared" si="16"/>
        <v>44835</v>
      </c>
      <c r="C141" s="198">
        <f t="shared" si="13"/>
        <v>44805</v>
      </c>
      <c r="D141" s="209">
        <f>IF(B141&lt;'信用保険料計算書（上限2000万）'!$E$15,0,IF(B141&gt;'信用保険料計算書（上限2000万）'!$E$16,0,1))</f>
        <v>1</v>
      </c>
      <c r="E141" s="209">
        <f>IF(D141=1,HLOOKUP(C141,'計算書（第1回）'!$C$123:$U$124,2,TRUE),0)</f>
        <v>481250</v>
      </c>
      <c r="F141" s="209">
        <f>IF('信用保険料計算書（上限2000万）'!$G$15="",0,IF($B141&lt;'信用保険料計算書（上限2000万）'!$G$15,0,IF($B141&gt;'信用保険料計算書（上限2000万）'!$G$16,0,1)))</f>
        <v>1</v>
      </c>
      <c r="G141" s="209">
        <f>IF(F141=1,HLOOKUP(C141,'計算書（第2回）'!$C$123:$U$124,2,TRUE),0)</f>
        <v>21214277</v>
      </c>
      <c r="H141" s="209">
        <f>IF('信用保険料計算書（上限2000万）'!$I$15="",0,IF($B141&lt;'信用保険料計算書（上限2000万）'!$I$15,0,IF($B141&gt;'信用保険料計算書（上限2000万）'!$I$16,0,1)))</f>
        <v>0</v>
      </c>
      <c r="I141" s="209">
        <f>IF(H141=1,HLOOKUP(C141,'計算書（第3回）'!$C$123:$U$124,2,TRUE),0)</f>
        <v>0</v>
      </c>
      <c r="J141" s="209">
        <f>IF('信用保険料計算書（上限2000万）'!$K$15="",0,IF($B141&lt;'信用保険料計算書（上限2000万）'!$K$15,0,IF($B141&gt;'信用保険料計算書（上限2000万）'!$K$16,0,1)))</f>
        <v>0</v>
      </c>
      <c r="K141" s="209">
        <f>IF(J141=1,HLOOKUP(C141,'計算書（第4回）'!$C$123:$U$124,2,TRUE),0)</f>
        <v>0</v>
      </c>
      <c r="L141" s="209">
        <f>IF('信用保険料計算書（上限2000万）'!$M$15="",0,IF($B141&lt;'信用保険料計算書（上限2000万）'!$M$15,0,IF($B141&gt;'信用保険料計算書（上限2000万）'!$M$16,0,1)))</f>
        <v>0</v>
      </c>
      <c r="M141" s="209">
        <f>IF(L141=1,HLOOKUP(C141,'計算書（第5回）'!$C$123:$U$124,2,TRUE),0)</f>
        <v>0</v>
      </c>
      <c r="N141" s="209">
        <f>IF('信用保険料計算書（上限2000万）'!$O$15="",0,IF($B141&lt;'信用保険料計算書（上限2000万）'!$O$15,0,IF($B141&gt;'信用保険料計算書（上限2000万）'!$O$16,0,1)))</f>
        <v>0</v>
      </c>
      <c r="O141" s="209">
        <f>IF(N141=1,HLOOKUP(C141,'計算書（第6回）'!$C$123:$U$124,2,TRUE),0)</f>
        <v>0</v>
      </c>
      <c r="P141" s="209">
        <f>IF('信用保険料計算書（上限2000万）'!$Q$15="",0,IF($B141&lt;'信用保険料計算書（上限2000万）'!$Q$15,0,IF($B141&gt;'信用保険料計算書（上限2000万）'!$Q$16,0,1)))</f>
        <v>0</v>
      </c>
      <c r="Q141" s="209">
        <f>IF(P141=1,HLOOKUP(C141,'計算書（第7回）'!$C$123:$U$124,2,TRUE),0)</f>
        <v>0</v>
      </c>
      <c r="R141" s="212"/>
      <c r="S141" s="211">
        <f>COUNTIF($AB$13:$AB$19,"&lt;=2022/10/1")</f>
        <v>2</v>
      </c>
      <c r="T141" s="178">
        <f t="shared" si="17"/>
        <v>44743</v>
      </c>
      <c r="U141" s="181">
        <f t="shared" si="14"/>
        <v>21695527</v>
      </c>
      <c r="V141" s="182">
        <f t="shared" si="12"/>
        <v>20000000</v>
      </c>
      <c r="W141" s="245">
        <f t="shared" si="18"/>
        <v>8000</v>
      </c>
      <c r="X141" s="182"/>
    </row>
    <row r="142" spans="2:24">
      <c r="B142" s="214">
        <f t="shared" si="16"/>
        <v>44866</v>
      </c>
      <c r="C142" s="198">
        <f t="shared" si="13"/>
        <v>44835</v>
      </c>
      <c r="D142" s="209">
        <f>IF(B142&lt;'信用保険料計算書（上限2000万）'!$E$15,0,IF(B142&gt;'信用保険料計算書（上限2000万）'!$E$16,0,1))</f>
        <v>1</v>
      </c>
      <c r="E142" s="209">
        <f>IF(D142=1,HLOOKUP(C142,'計算書（第1回）'!$C$123:$U$124,2,TRUE),0)</f>
        <v>481250</v>
      </c>
      <c r="F142" s="209">
        <f>IF('信用保険料計算書（上限2000万）'!$G$15="",0,IF($B142&lt;'信用保険料計算書（上限2000万）'!$G$15,0,IF($B142&gt;'信用保険料計算書（上限2000万）'!$G$16,0,1)))</f>
        <v>1</v>
      </c>
      <c r="G142" s="209">
        <f>IF(F142=1,HLOOKUP(C142,'計算書（第2回）'!$C$123:$U$124,2,TRUE),0)</f>
        <v>21214277</v>
      </c>
      <c r="H142" s="209">
        <f>IF('信用保険料計算書（上限2000万）'!$I$15="",0,IF($B142&lt;'信用保険料計算書（上限2000万）'!$I$15,0,IF($B142&gt;'信用保険料計算書（上限2000万）'!$I$16,0,1)))</f>
        <v>0</v>
      </c>
      <c r="I142" s="209">
        <f>IF(H142=1,HLOOKUP(C142,'計算書（第3回）'!$C$123:$U$124,2,TRUE),0)</f>
        <v>0</v>
      </c>
      <c r="J142" s="209">
        <f>IF('信用保険料計算書（上限2000万）'!$K$15="",0,IF($B142&lt;'信用保険料計算書（上限2000万）'!$K$15,0,IF($B142&gt;'信用保険料計算書（上限2000万）'!$K$16,0,1)))</f>
        <v>0</v>
      </c>
      <c r="K142" s="209">
        <f>IF(J142=1,HLOOKUP(C142,'計算書（第4回）'!$C$123:$U$124,2,TRUE),0)</f>
        <v>0</v>
      </c>
      <c r="L142" s="209">
        <f>IF('信用保険料計算書（上限2000万）'!$M$15="",0,IF($B142&lt;'信用保険料計算書（上限2000万）'!$M$15,0,IF($B142&gt;'信用保険料計算書（上限2000万）'!$M$16,0,1)))</f>
        <v>0</v>
      </c>
      <c r="M142" s="209">
        <f>IF(L142=1,HLOOKUP(C142,'計算書（第5回）'!$C$123:$U$124,2,TRUE),0)</f>
        <v>0</v>
      </c>
      <c r="N142" s="209">
        <f>IF('信用保険料計算書（上限2000万）'!$O$15="",0,IF($B142&lt;'信用保険料計算書（上限2000万）'!$O$15,0,IF($B142&gt;'信用保険料計算書（上限2000万）'!$O$16,0,1)))</f>
        <v>0</v>
      </c>
      <c r="O142" s="209">
        <f>IF(N142=1,HLOOKUP(C142,'計算書（第6回）'!$C$123:$U$124,2,TRUE),0)</f>
        <v>0</v>
      </c>
      <c r="P142" s="209">
        <f>IF('信用保険料計算書（上限2000万）'!$Q$15="",0,IF($B142&lt;'信用保険料計算書（上限2000万）'!$Q$15,0,IF($B142&gt;'信用保険料計算書（上限2000万）'!$Q$16,0,1)))</f>
        <v>0</v>
      </c>
      <c r="Q142" s="209">
        <f>IF(P142=1,HLOOKUP(C142,'計算書（第7回）'!$C$123:$U$124,2,TRUE),0)</f>
        <v>0</v>
      </c>
      <c r="R142" s="212"/>
      <c r="S142" s="211">
        <f>COUNTIF($AB$13:$AB$19,"&lt;=2022/11/1")</f>
        <v>2</v>
      </c>
      <c r="T142" s="178">
        <f t="shared" si="17"/>
        <v>44743</v>
      </c>
      <c r="U142" s="181">
        <f t="shared" si="14"/>
        <v>21695527</v>
      </c>
      <c r="V142" s="182">
        <f t="shared" si="12"/>
        <v>20000000</v>
      </c>
      <c r="W142" s="245">
        <f t="shared" si="18"/>
        <v>8000</v>
      </c>
      <c r="X142" s="182"/>
    </row>
    <row r="143" spans="2:24">
      <c r="B143" s="214">
        <f t="shared" si="16"/>
        <v>44896</v>
      </c>
      <c r="C143" s="198">
        <f t="shared" si="13"/>
        <v>44866</v>
      </c>
      <c r="D143" s="209">
        <f>IF(B143&lt;'信用保険料計算書（上限2000万）'!$E$15,0,IF(B143&gt;'信用保険料計算書（上限2000万）'!$E$16,0,1))</f>
        <v>1</v>
      </c>
      <c r="E143" s="209">
        <f>IF(D143=1,HLOOKUP(C143,'計算書（第1回）'!$C$123:$U$124,2,TRUE),0)</f>
        <v>481250</v>
      </c>
      <c r="F143" s="209">
        <f>IF('信用保険料計算書（上限2000万）'!$G$15="",0,IF($B143&lt;'信用保険料計算書（上限2000万）'!$G$15,0,IF($B143&gt;'信用保険料計算書（上限2000万）'!$G$16,0,1)))</f>
        <v>1</v>
      </c>
      <c r="G143" s="209">
        <f>IF(F143=1,HLOOKUP(C143,'計算書（第2回）'!$C$123:$U$124,2,TRUE),0)</f>
        <v>21214277</v>
      </c>
      <c r="H143" s="209">
        <f>IF('信用保険料計算書（上限2000万）'!$I$15="",0,IF($B143&lt;'信用保険料計算書（上限2000万）'!$I$15,0,IF($B143&gt;'信用保険料計算書（上限2000万）'!$I$16,0,1)))</f>
        <v>0</v>
      </c>
      <c r="I143" s="209">
        <f>IF(H143=1,HLOOKUP(C143,'計算書（第3回）'!$C$123:$U$124,2,TRUE),0)</f>
        <v>0</v>
      </c>
      <c r="J143" s="209">
        <f>IF('信用保険料計算書（上限2000万）'!$K$15="",0,IF($B143&lt;'信用保険料計算書（上限2000万）'!$K$15,0,IF($B143&gt;'信用保険料計算書（上限2000万）'!$K$16,0,1)))</f>
        <v>0</v>
      </c>
      <c r="K143" s="209">
        <f>IF(J143=1,HLOOKUP(C143,'計算書（第4回）'!$C$123:$U$124,2,TRUE),0)</f>
        <v>0</v>
      </c>
      <c r="L143" s="209">
        <f>IF('信用保険料計算書（上限2000万）'!$M$15="",0,IF($B143&lt;'信用保険料計算書（上限2000万）'!$M$15,0,IF($B143&gt;'信用保険料計算書（上限2000万）'!$M$16,0,1)))</f>
        <v>0</v>
      </c>
      <c r="M143" s="209">
        <f>IF(L143=1,HLOOKUP(C143,'計算書（第5回）'!$C$123:$U$124,2,TRUE),0)</f>
        <v>0</v>
      </c>
      <c r="N143" s="209">
        <f>IF('信用保険料計算書（上限2000万）'!$O$15="",0,IF($B143&lt;'信用保険料計算書（上限2000万）'!$O$15,0,IF($B143&gt;'信用保険料計算書（上限2000万）'!$O$16,0,1)))</f>
        <v>0</v>
      </c>
      <c r="O143" s="209">
        <f>IF(N143=1,HLOOKUP(C143,'計算書（第6回）'!$C$123:$U$124,2,TRUE),0)</f>
        <v>0</v>
      </c>
      <c r="P143" s="209">
        <f>IF('信用保険料計算書（上限2000万）'!$Q$15="",0,IF($B143&lt;'信用保険料計算書（上限2000万）'!$Q$15,0,IF($B143&gt;'信用保険料計算書（上限2000万）'!$Q$16,0,1)))</f>
        <v>0</v>
      </c>
      <c r="Q143" s="209">
        <f>IF(P143=1,HLOOKUP(C143,'計算書（第7回）'!$C$123:$U$124,2,TRUE),0)</f>
        <v>0</v>
      </c>
      <c r="R143" s="212"/>
      <c r="S143" s="211">
        <f>COUNTIF($AB$13:$AB$19,"&lt;=2022/12/1")</f>
        <v>2</v>
      </c>
      <c r="T143" s="178">
        <f t="shared" si="17"/>
        <v>44743</v>
      </c>
      <c r="U143" s="181">
        <f t="shared" si="14"/>
        <v>21695527</v>
      </c>
      <c r="V143" s="182">
        <f t="shared" si="12"/>
        <v>20000000</v>
      </c>
      <c r="W143" s="245">
        <f t="shared" si="18"/>
        <v>8000</v>
      </c>
      <c r="X143" s="182"/>
    </row>
    <row r="144" spans="2:24">
      <c r="B144" s="214">
        <f t="shared" si="16"/>
        <v>44927</v>
      </c>
      <c r="C144" s="198">
        <f t="shared" si="13"/>
        <v>44896</v>
      </c>
      <c r="D144" s="209">
        <f>IF(B144&lt;'信用保険料計算書（上限2000万）'!$E$15,0,IF(B144&gt;'信用保険料計算書（上限2000万）'!$E$16,0,1))</f>
        <v>1</v>
      </c>
      <c r="E144" s="209">
        <f>IF(D144=1,HLOOKUP(C144,'計算書（第1回）'!$C$123:$U$124,2,TRUE),0)</f>
        <v>481250</v>
      </c>
      <c r="F144" s="209">
        <f>IF('信用保険料計算書（上限2000万）'!$G$15="",0,IF($B144&lt;'信用保険料計算書（上限2000万）'!$G$15,0,IF($B144&gt;'信用保険料計算書（上限2000万）'!$G$16,0,1)))</f>
        <v>1</v>
      </c>
      <c r="G144" s="209">
        <f>IF(F144=1,HLOOKUP(C144,'計算書（第2回）'!$C$123:$U$124,2,TRUE),0)</f>
        <v>21214277</v>
      </c>
      <c r="H144" s="209">
        <f>IF('信用保険料計算書（上限2000万）'!$I$15="",0,IF($B144&lt;'信用保険料計算書（上限2000万）'!$I$15,0,IF($B144&gt;'信用保険料計算書（上限2000万）'!$I$16,0,1)))</f>
        <v>0</v>
      </c>
      <c r="I144" s="209">
        <f>IF(H144=1,HLOOKUP(C144,'計算書（第3回）'!$C$123:$U$124,2,TRUE),0)</f>
        <v>0</v>
      </c>
      <c r="J144" s="209">
        <f>IF('信用保険料計算書（上限2000万）'!$K$15="",0,IF($B144&lt;'信用保険料計算書（上限2000万）'!$K$15,0,IF($B144&gt;'信用保険料計算書（上限2000万）'!$K$16,0,1)))</f>
        <v>0</v>
      </c>
      <c r="K144" s="209">
        <f>IF(J144=1,HLOOKUP(C144,'計算書（第4回）'!$C$123:$U$124,2,TRUE),0)</f>
        <v>0</v>
      </c>
      <c r="L144" s="209">
        <f>IF('信用保険料計算書（上限2000万）'!$M$15="",0,IF($B144&lt;'信用保険料計算書（上限2000万）'!$M$15,0,IF($B144&gt;'信用保険料計算書（上限2000万）'!$M$16,0,1)))</f>
        <v>0</v>
      </c>
      <c r="M144" s="209">
        <f>IF(L144=1,HLOOKUP(C144,'計算書（第5回）'!$C$123:$U$124,2,TRUE),0)</f>
        <v>0</v>
      </c>
      <c r="N144" s="209">
        <f>IF('信用保険料計算書（上限2000万）'!$O$15="",0,IF($B144&lt;'信用保険料計算書（上限2000万）'!$O$15,0,IF($B144&gt;'信用保険料計算書（上限2000万）'!$O$16,0,1)))</f>
        <v>0</v>
      </c>
      <c r="O144" s="209">
        <f>IF(N144=1,HLOOKUP(C144,'計算書（第6回）'!$C$123:$U$124,2,TRUE),0)</f>
        <v>0</v>
      </c>
      <c r="P144" s="209">
        <f>IF('信用保険料計算書（上限2000万）'!$Q$15="",0,IF($B144&lt;'信用保険料計算書（上限2000万）'!$Q$15,0,IF($B144&gt;'信用保険料計算書（上限2000万）'!$Q$16,0,1)))</f>
        <v>0</v>
      </c>
      <c r="Q144" s="209">
        <f>IF(P144=1,HLOOKUP(C144,'計算書（第7回）'!$C$123:$U$124,2,TRUE),0)</f>
        <v>0</v>
      </c>
      <c r="R144" s="213"/>
      <c r="S144" s="211">
        <f>COUNTIF($AB$13:$AB$19,"&lt;=2023/1/1")</f>
        <v>2</v>
      </c>
      <c r="T144" s="178">
        <f t="shared" si="17"/>
        <v>44743</v>
      </c>
      <c r="U144" s="181">
        <f t="shared" si="14"/>
        <v>21695527</v>
      </c>
      <c r="V144" s="182">
        <f t="shared" si="12"/>
        <v>20000000</v>
      </c>
      <c r="W144" s="245">
        <f t="shared" si="18"/>
        <v>8000</v>
      </c>
      <c r="X144" s="182"/>
    </row>
    <row r="145" spans="2:24">
      <c r="B145" s="214">
        <f t="shared" si="16"/>
        <v>44958</v>
      </c>
      <c r="C145" s="198">
        <f t="shared" si="13"/>
        <v>44927</v>
      </c>
      <c r="D145" s="209">
        <f>IF(B145&lt;'信用保険料計算書（上限2000万）'!$E$15,0,IF(B145&gt;'信用保険料計算書（上限2000万）'!$E$16,0,1))</f>
        <v>1</v>
      </c>
      <c r="E145" s="209">
        <f>IF(D145=1,HLOOKUP(C145,'計算書（第1回）'!$C$123:$U$124,2,TRUE),0)</f>
        <v>481250</v>
      </c>
      <c r="F145" s="209">
        <f>IF('信用保険料計算書（上限2000万）'!$G$15="",0,IF($B145&lt;'信用保険料計算書（上限2000万）'!$G$15,0,IF($B145&gt;'信用保険料計算書（上限2000万）'!$G$16,0,1)))</f>
        <v>1</v>
      </c>
      <c r="G145" s="209">
        <f>IF(F145=1,HLOOKUP(C145,'計算書（第2回）'!$C$123:$U$124,2,TRUE),0)</f>
        <v>21214277</v>
      </c>
      <c r="H145" s="209">
        <f>IF('信用保険料計算書（上限2000万）'!$I$15="",0,IF($B145&lt;'信用保険料計算書（上限2000万）'!$I$15,0,IF($B145&gt;'信用保険料計算書（上限2000万）'!$I$16,0,1)))</f>
        <v>0</v>
      </c>
      <c r="I145" s="209">
        <f>IF(H145=1,HLOOKUP(C145,'計算書（第3回）'!$C$123:$U$124,2,TRUE),0)</f>
        <v>0</v>
      </c>
      <c r="J145" s="209">
        <f>IF('信用保険料計算書（上限2000万）'!$K$15="",0,IF($B145&lt;'信用保険料計算書（上限2000万）'!$K$15,0,IF($B145&gt;'信用保険料計算書（上限2000万）'!$K$16,0,1)))</f>
        <v>0</v>
      </c>
      <c r="K145" s="209">
        <f>IF(J145=1,HLOOKUP(C145,'計算書（第4回）'!$C$123:$U$124,2,TRUE),0)</f>
        <v>0</v>
      </c>
      <c r="L145" s="209">
        <f>IF('信用保険料計算書（上限2000万）'!$M$15="",0,IF($B145&lt;'信用保険料計算書（上限2000万）'!$M$15,0,IF($B145&gt;'信用保険料計算書（上限2000万）'!$M$16,0,1)))</f>
        <v>0</v>
      </c>
      <c r="M145" s="209">
        <f>IF(L145=1,HLOOKUP(C145,'計算書（第5回）'!$C$123:$U$124,2,TRUE),0)</f>
        <v>0</v>
      </c>
      <c r="N145" s="209">
        <f>IF('信用保険料計算書（上限2000万）'!$O$15="",0,IF($B145&lt;'信用保険料計算書（上限2000万）'!$O$15,0,IF($B145&gt;'信用保険料計算書（上限2000万）'!$O$16,0,1)))</f>
        <v>0</v>
      </c>
      <c r="O145" s="209">
        <f>IF(N145=1,HLOOKUP(C145,'計算書（第6回）'!$C$123:$U$124,2,TRUE),0)</f>
        <v>0</v>
      </c>
      <c r="P145" s="209">
        <f>IF('信用保険料計算書（上限2000万）'!$Q$15="",0,IF($B145&lt;'信用保険料計算書（上限2000万）'!$Q$15,0,IF($B145&gt;'信用保険料計算書（上限2000万）'!$Q$16,0,1)))</f>
        <v>0</v>
      </c>
      <c r="Q145" s="209">
        <f>IF(P145=1,HLOOKUP(C145,'計算書（第7回）'!$C$123:$U$124,2,TRUE),0)</f>
        <v>0</v>
      </c>
      <c r="R145" s="213"/>
      <c r="S145" s="211">
        <f>COUNTIF($AB$13:$AB$19,"&lt;=2023/2/1")</f>
        <v>2</v>
      </c>
      <c r="T145" s="178">
        <f t="shared" si="17"/>
        <v>44743</v>
      </c>
      <c r="U145" s="181">
        <f t="shared" si="14"/>
        <v>21695527</v>
      </c>
      <c r="V145" s="182">
        <f t="shared" si="12"/>
        <v>20000000</v>
      </c>
      <c r="W145" s="245">
        <f t="shared" si="18"/>
        <v>8000</v>
      </c>
      <c r="X145" s="182"/>
    </row>
    <row r="146" spans="2:24">
      <c r="B146" s="214">
        <f t="shared" si="16"/>
        <v>44986</v>
      </c>
      <c r="C146" s="198">
        <f t="shared" si="13"/>
        <v>44958</v>
      </c>
      <c r="D146" s="209">
        <f>IF(B146&lt;'信用保険料計算書（上限2000万）'!$E$15,0,IF(B146&gt;'信用保険料計算書（上限2000万）'!$E$16,0,1))</f>
        <v>1</v>
      </c>
      <c r="E146" s="209">
        <f>IF(D146=1,HLOOKUP(C146,'計算書（第1回）'!$C$123:$U$124,2,TRUE),0)</f>
        <v>481250</v>
      </c>
      <c r="F146" s="209">
        <f>IF('信用保険料計算書（上限2000万）'!$G$15="",0,IF($B146&lt;'信用保険料計算書（上限2000万）'!$G$15,0,IF($B146&gt;'信用保険料計算書（上限2000万）'!$G$16,0,1)))</f>
        <v>1</v>
      </c>
      <c r="G146" s="209">
        <f>IF(F146=1,HLOOKUP(C146,'計算書（第2回）'!$C$123:$U$124,2,TRUE),0)</f>
        <v>21214277</v>
      </c>
      <c r="H146" s="209">
        <f>IF('信用保険料計算書（上限2000万）'!$I$15="",0,IF($B146&lt;'信用保険料計算書（上限2000万）'!$I$15,0,IF($B146&gt;'信用保険料計算書（上限2000万）'!$I$16,0,1)))</f>
        <v>0</v>
      </c>
      <c r="I146" s="209">
        <f>IF(H146=1,HLOOKUP(C146,'計算書（第3回）'!$C$123:$U$124,2,TRUE),0)</f>
        <v>0</v>
      </c>
      <c r="J146" s="209">
        <f>IF('信用保険料計算書（上限2000万）'!$K$15="",0,IF($B146&lt;'信用保険料計算書（上限2000万）'!$K$15,0,IF($B146&gt;'信用保険料計算書（上限2000万）'!$K$16,0,1)))</f>
        <v>0</v>
      </c>
      <c r="K146" s="209">
        <f>IF(J146=1,HLOOKUP(C146,'計算書（第4回）'!$C$123:$U$124,2,TRUE),0)</f>
        <v>0</v>
      </c>
      <c r="L146" s="209">
        <f>IF('信用保険料計算書（上限2000万）'!$M$15="",0,IF($B146&lt;'信用保険料計算書（上限2000万）'!$M$15,0,IF($B146&gt;'信用保険料計算書（上限2000万）'!$M$16,0,1)))</f>
        <v>0</v>
      </c>
      <c r="M146" s="209">
        <f>IF(L146=1,HLOOKUP(C146,'計算書（第5回）'!$C$123:$U$124,2,TRUE),0)</f>
        <v>0</v>
      </c>
      <c r="N146" s="209">
        <f>IF('信用保険料計算書（上限2000万）'!$O$15="",0,IF($B146&lt;'信用保険料計算書（上限2000万）'!$O$15,0,IF($B146&gt;'信用保険料計算書（上限2000万）'!$O$16,0,1)))</f>
        <v>0</v>
      </c>
      <c r="O146" s="209">
        <f>IF(N146=1,HLOOKUP(C146,'計算書（第6回）'!$C$123:$U$124,2,TRUE),0)</f>
        <v>0</v>
      </c>
      <c r="P146" s="209">
        <f>IF('信用保険料計算書（上限2000万）'!$Q$15="",0,IF($B146&lt;'信用保険料計算書（上限2000万）'!$Q$15,0,IF($B146&gt;'信用保険料計算書（上限2000万）'!$Q$16,0,1)))</f>
        <v>0</v>
      </c>
      <c r="Q146" s="209">
        <f>IF(P146=1,HLOOKUP(C146,'計算書（第7回）'!$C$123:$U$124,2,TRUE),0)</f>
        <v>0</v>
      </c>
      <c r="R146" s="213"/>
      <c r="S146" s="211">
        <f>COUNTIF($AB$13:$AB$19,"&lt;=2023/3/1")</f>
        <v>2</v>
      </c>
      <c r="T146" s="178">
        <f t="shared" si="17"/>
        <v>44743</v>
      </c>
      <c r="U146" s="181">
        <f t="shared" si="14"/>
        <v>21695527</v>
      </c>
      <c r="V146" s="182">
        <f t="shared" si="12"/>
        <v>20000000</v>
      </c>
      <c r="W146" s="245">
        <f t="shared" si="18"/>
        <v>8000</v>
      </c>
      <c r="X146" s="183">
        <f>INT(SUM(W141:W146))</f>
        <v>48000</v>
      </c>
    </row>
    <row r="147" spans="2:24">
      <c r="B147" s="214">
        <f t="shared" si="16"/>
        <v>45017</v>
      </c>
      <c r="C147" s="198">
        <f t="shared" si="13"/>
        <v>44986</v>
      </c>
      <c r="D147" s="209">
        <f>IF(B147&lt;'信用保険料計算書（上限2000万）'!$E$15,0,IF(B147&gt;'信用保険料計算書（上限2000万）'!$E$16,0,1))</f>
        <v>1</v>
      </c>
      <c r="E147" s="209">
        <f>IF(D147=1,HLOOKUP(C147,'計算書（第1回）'!$C$123:$U$124,2,TRUE),0)</f>
        <v>412500</v>
      </c>
      <c r="F147" s="209">
        <f>IF('信用保険料計算書（上限2000万）'!$G$15="",0,IF($B147&lt;'信用保険料計算書（上限2000万）'!$G$15,0,IF($B147&gt;'信用保険料計算書（上限2000万）'!$G$16,0,1)))</f>
        <v>1</v>
      </c>
      <c r="G147" s="209">
        <f>IF(F147=1,HLOOKUP(C147,'計算書（第2回）'!$C$123:$U$124,2,TRUE),0)</f>
        <v>19642849</v>
      </c>
      <c r="H147" s="209">
        <f>IF('信用保険料計算書（上限2000万）'!$I$15="",0,IF($B147&lt;'信用保険料計算書（上限2000万）'!$I$15,0,IF($B147&gt;'信用保険料計算書（上限2000万）'!$I$16,0,1)))</f>
        <v>0</v>
      </c>
      <c r="I147" s="209">
        <f>IF(H147=1,HLOOKUP(C147,'計算書（第3回）'!$C$123:$U$124,2,TRUE),0)</f>
        <v>0</v>
      </c>
      <c r="J147" s="209">
        <f>IF('信用保険料計算書（上限2000万）'!$K$15="",0,IF($B147&lt;'信用保険料計算書（上限2000万）'!$K$15,0,IF($B147&gt;'信用保険料計算書（上限2000万）'!$K$16,0,1)))</f>
        <v>0</v>
      </c>
      <c r="K147" s="209">
        <f>IF(J147=1,HLOOKUP(C147,'計算書（第4回）'!$C$123:$U$124,2,TRUE),0)</f>
        <v>0</v>
      </c>
      <c r="L147" s="209">
        <f>IF('信用保険料計算書（上限2000万）'!$M$15="",0,IF($B147&lt;'信用保険料計算書（上限2000万）'!$M$15,0,IF($B147&gt;'信用保険料計算書（上限2000万）'!$M$16,0,1)))</f>
        <v>0</v>
      </c>
      <c r="M147" s="209">
        <f>IF(L147=1,HLOOKUP(C147,'計算書（第5回）'!$C$123:$U$124,2,TRUE),0)</f>
        <v>0</v>
      </c>
      <c r="N147" s="209">
        <f>IF('信用保険料計算書（上限2000万）'!$O$15="",0,IF($B147&lt;'信用保険料計算書（上限2000万）'!$O$15,0,IF($B147&gt;'信用保険料計算書（上限2000万）'!$O$16,0,1)))</f>
        <v>0</v>
      </c>
      <c r="O147" s="209">
        <f>IF(N147=1,HLOOKUP(C147,'計算書（第6回）'!$C$123:$U$124,2,TRUE),0)</f>
        <v>0</v>
      </c>
      <c r="P147" s="209">
        <f>IF('信用保険料計算書（上限2000万）'!$Q$15="",0,IF($B147&lt;'信用保険料計算書（上限2000万）'!$Q$15,0,IF($B147&gt;'信用保険料計算書（上限2000万）'!$Q$16,0,1)))</f>
        <v>0</v>
      </c>
      <c r="Q147" s="209">
        <f>IF(P147=1,HLOOKUP(C147,'計算書（第7回）'!$C$123:$U$124,2,TRUE),0)</f>
        <v>0</v>
      </c>
      <c r="R147" s="213"/>
      <c r="S147" s="211">
        <f>COUNTIF($AB$13:$AB$19,"&lt;=2023/4/1")</f>
        <v>2</v>
      </c>
      <c r="T147" s="178">
        <f t="shared" si="17"/>
        <v>44743</v>
      </c>
      <c r="U147" s="181">
        <f t="shared" si="14"/>
        <v>20055349</v>
      </c>
      <c r="V147" s="182">
        <f t="shared" si="12"/>
        <v>20000000</v>
      </c>
      <c r="W147" s="245">
        <f t="shared" si="18"/>
        <v>8000</v>
      </c>
      <c r="X147" s="182"/>
    </row>
    <row r="148" spans="2:24">
      <c r="B148" s="214">
        <f t="shared" si="16"/>
        <v>45047</v>
      </c>
      <c r="C148" s="198">
        <f t="shared" si="13"/>
        <v>45017</v>
      </c>
      <c r="D148" s="209">
        <f>IF(B148&lt;'信用保険料計算書（上限2000万）'!$E$15,0,IF(B148&gt;'信用保険料計算書（上限2000万）'!$E$16,0,1))</f>
        <v>1</v>
      </c>
      <c r="E148" s="209">
        <f>IF(D148=1,HLOOKUP(C148,'計算書（第1回）'!$C$123:$U$124,2,TRUE),0)</f>
        <v>412500</v>
      </c>
      <c r="F148" s="209">
        <f>IF('信用保険料計算書（上限2000万）'!$G$15="",0,IF($B148&lt;'信用保険料計算書（上限2000万）'!$G$15,0,IF($B148&gt;'信用保険料計算書（上限2000万）'!$G$16,0,1)))</f>
        <v>1</v>
      </c>
      <c r="G148" s="209">
        <f>IF(F148=1,HLOOKUP(C148,'計算書（第2回）'!$C$123:$U$124,2,TRUE),0)</f>
        <v>19642849</v>
      </c>
      <c r="H148" s="209">
        <f>IF('信用保険料計算書（上限2000万）'!$I$15="",0,IF($B148&lt;'信用保険料計算書（上限2000万）'!$I$15,0,IF($B148&gt;'信用保険料計算書（上限2000万）'!$I$16,0,1)))</f>
        <v>0</v>
      </c>
      <c r="I148" s="209">
        <f>IF(H148=1,HLOOKUP(C148,'計算書（第3回）'!$C$123:$U$124,2,TRUE),0)</f>
        <v>0</v>
      </c>
      <c r="J148" s="209">
        <f>IF('信用保険料計算書（上限2000万）'!$K$15="",0,IF($B148&lt;'信用保険料計算書（上限2000万）'!$K$15,0,IF($B148&gt;'信用保険料計算書（上限2000万）'!$K$16,0,1)))</f>
        <v>0</v>
      </c>
      <c r="K148" s="209">
        <f>IF(J148=1,HLOOKUP(C148,'計算書（第4回）'!$C$123:$U$124,2,TRUE),0)</f>
        <v>0</v>
      </c>
      <c r="L148" s="209">
        <f>IF('信用保険料計算書（上限2000万）'!$M$15="",0,IF($B148&lt;'信用保険料計算書（上限2000万）'!$M$15,0,IF($B148&gt;'信用保険料計算書（上限2000万）'!$M$16,0,1)))</f>
        <v>0</v>
      </c>
      <c r="M148" s="209">
        <f>IF(L148=1,HLOOKUP(C148,'計算書（第5回）'!$C$123:$U$124,2,TRUE),0)</f>
        <v>0</v>
      </c>
      <c r="N148" s="209">
        <f>IF('信用保険料計算書（上限2000万）'!$O$15="",0,IF($B148&lt;'信用保険料計算書（上限2000万）'!$O$15,0,IF($B148&gt;'信用保険料計算書（上限2000万）'!$O$16,0,1)))</f>
        <v>0</v>
      </c>
      <c r="O148" s="209">
        <f>IF(N148=1,HLOOKUP(C148,'計算書（第6回）'!$C$123:$U$124,2,TRUE),0)</f>
        <v>0</v>
      </c>
      <c r="P148" s="209">
        <f>IF('信用保険料計算書（上限2000万）'!$Q$15="",0,IF($B148&lt;'信用保険料計算書（上限2000万）'!$Q$15,0,IF($B148&gt;'信用保険料計算書（上限2000万）'!$Q$16,0,1)))</f>
        <v>0</v>
      </c>
      <c r="Q148" s="209">
        <f>IF(P148=1,HLOOKUP(C148,'計算書（第7回）'!$C$123:$U$124,2,TRUE),0)</f>
        <v>0</v>
      </c>
      <c r="R148" s="213"/>
      <c r="S148" s="211">
        <f>COUNTIF($AB$13:$AB$19,"&lt;=2023/5/1")</f>
        <v>2</v>
      </c>
      <c r="T148" s="178">
        <f t="shared" si="17"/>
        <v>44743</v>
      </c>
      <c r="U148" s="181">
        <f t="shared" si="14"/>
        <v>20055349</v>
      </c>
      <c r="V148" s="182">
        <f t="shared" si="12"/>
        <v>20000000</v>
      </c>
      <c r="W148" s="245">
        <f t="shared" si="18"/>
        <v>8000</v>
      </c>
      <c r="X148" s="182"/>
    </row>
    <row r="149" spans="2:24">
      <c r="B149" s="214">
        <f t="shared" si="16"/>
        <v>45078</v>
      </c>
      <c r="C149" s="198">
        <f t="shared" si="13"/>
        <v>45047</v>
      </c>
      <c r="D149" s="209">
        <f>IF(B149&lt;'信用保険料計算書（上限2000万）'!$E$15,0,IF(B149&gt;'信用保険料計算書（上限2000万）'!$E$16,0,1))</f>
        <v>1</v>
      </c>
      <c r="E149" s="209">
        <f>IF(D149=1,HLOOKUP(C149,'計算書（第1回）'!$C$123:$U$124,2,TRUE),0)</f>
        <v>412500</v>
      </c>
      <c r="F149" s="209">
        <f>IF('信用保険料計算書（上限2000万）'!$G$15="",0,IF($B149&lt;'信用保険料計算書（上限2000万）'!$G$15,0,IF($B149&gt;'信用保険料計算書（上限2000万）'!$G$16,0,1)))</f>
        <v>1</v>
      </c>
      <c r="G149" s="209">
        <f>IF(F149=1,HLOOKUP(C149,'計算書（第2回）'!$C$123:$U$124,2,TRUE),0)</f>
        <v>19642849</v>
      </c>
      <c r="H149" s="209">
        <f>IF('信用保険料計算書（上限2000万）'!$I$15="",0,IF($B149&lt;'信用保険料計算書（上限2000万）'!$I$15,0,IF($B149&gt;'信用保険料計算書（上限2000万）'!$I$16,0,1)))</f>
        <v>0</v>
      </c>
      <c r="I149" s="209">
        <f>IF(H149=1,HLOOKUP(C149,'計算書（第3回）'!$C$123:$U$124,2,TRUE),0)</f>
        <v>0</v>
      </c>
      <c r="J149" s="209">
        <f>IF('信用保険料計算書（上限2000万）'!$K$15="",0,IF($B149&lt;'信用保険料計算書（上限2000万）'!$K$15,0,IF($B149&gt;'信用保険料計算書（上限2000万）'!$K$16,0,1)))</f>
        <v>0</v>
      </c>
      <c r="K149" s="209">
        <f>IF(J149=1,HLOOKUP(C149,'計算書（第4回）'!$C$123:$U$124,2,TRUE),0)</f>
        <v>0</v>
      </c>
      <c r="L149" s="209">
        <f>IF('信用保険料計算書（上限2000万）'!$M$15="",0,IF($B149&lt;'信用保険料計算書（上限2000万）'!$M$15,0,IF($B149&gt;'信用保険料計算書（上限2000万）'!$M$16,0,1)))</f>
        <v>0</v>
      </c>
      <c r="M149" s="209">
        <f>IF(L149=1,HLOOKUP(C149,'計算書（第5回）'!$C$123:$U$124,2,TRUE),0)</f>
        <v>0</v>
      </c>
      <c r="N149" s="209">
        <f>IF('信用保険料計算書（上限2000万）'!$O$15="",0,IF($B149&lt;'信用保険料計算書（上限2000万）'!$O$15,0,IF($B149&gt;'信用保険料計算書（上限2000万）'!$O$16,0,1)))</f>
        <v>0</v>
      </c>
      <c r="O149" s="209">
        <f>IF(N149=1,HLOOKUP(C149,'計算書（第6回）'!$C$123:$U$124,2,TRUE),0)</f>
        <v>0</v>
      </c>
      <c r="P149" s="209">
        <f>IF('信用保険料計算書（上限2000万）'!$Q$15="",0,IF($B149&lt;'信用保険料計算書（上限2000万）'!$Q$15,0,IF($B149&gt;'信用保険料計算書（上限2000万）'!$Q$16,0,1)))</f>
        <v>0</v>
      </c>
      <c r="Q149" s="209">
        <f>IF(P149=1,HLOOKUP(C149,'計算書（第7回）'!$C$123:$U$124,2,TRUE),0)</f>
        <v>0</v>
      </c>
      <c r="R149" s="213"/>
      <c r="S149" s="211">
        <f>COUNTIF($AB$13:$AB$19,"&lt;=2023/6/1")</f>
        <v>2</v>
      </c>
      <c r="T149" s="178">
        <f t="shared" si="17"/>
        <v>44743</v>
      </c>
      <c r="U149" s="181">
        <f t="shared" si="14"/>
        <v>20055349</v>
      </c>
      <c r="V149" s="182">
        <f t="shared" si="12"/>
        <v>20000000</v>
      </c>
      <c r="W149" s="245">
        <f t="shared" si="18"/>
        <v>8000</v>
      </c>
      <c r="X149" s="182"/>
    </row>
    <row r="150" spans="2:24">
      <c r="B150" s="214">
        <f t="shared" si="16"/>
        <v>45108</v>
      </c>
      <c r="C150" s="198">
        <f t="shared" si="13"/>
        <v>45078</v>
      </c>
      <c r="D150" s="209">
        <f>IF(B150&lt;'信用保険料計算書（上限2000万）'!$E$15,0,IF(B150&gt;'信用保険料計算書（上限2000万）'!$E$16,0,1))</f>
        <v>1</v>
      </c>
      <c r="E150" s="209">
        <f>IF(D150=1,HLOOKUP(C150,'計算書（第1回）'!$C$123:$U$124,2,TRUE),0)</f>
        <v>412500</v>
      </c>
      <c r="F150" s="209">
        <f>IF('信用保険料計算書（上限2000万）'!$G$15="",0,IF($B150&lt;'信用保険料計算書（上限2000万）'!$G$15,0,IF($B150&gt;'信用保険料計算書（上限2000万）'!$G$16,0,1)))</f>
        <v>1</v>
      </c>
      <c r="G150" s="209">
        <f>IF(F150=1,HLOOKUP(C150,'計算書（第2回）'!$C$123:$U$124,2,TRUE),0)</f>
        <v>19642849</v>
      </c>
      <c r="H150" s="209">
        <f>IF('信用保険料計算書（上限2000万）'!$I$15="",0,IF($B150&lt;'信用保険料計算書（上限2000万）'!$I$15,0,IF($B150&gt;'信用保険料計算書（上限2000万）'!$I$16,0,1)))</f>
        <v>0</v>
      </c>
      <c r="I150" s="209">
        <f>IF(H150=1,HLOOKUP(C150,'計算書（第3回）'!$C$123:$U$124,2,TRUE),0)</f>
        <v>0</v>
      </c>
      <c r="J150" s="209">
        <f>IF('信用保険料計算書（上限2000万）'!$K$15="",0,IF($B150&lt;'信用保険料計算書（上限2000万）'!$K$15,0,IF($B150&gt;'信用保険料計算書（上限2000万）'!$K$16,0,1)))</f>
        <v>0</v>
      </c>
      <c r="K150" s="209">
        <f>IF(J150=1,HLOOKUP(C150,'計算書（第4回）'!$C$123:$U$124,2,TRUE),0)</f>
        <v>0</v>
      </c>
      <c r="L150" s="209">
        <f>IF('信用保険料計算書（上限2000万）'!$M$15="",0,IF($B150&lt;'信用保険料計算書（上限2000万）'!$M$15,0,IF($B150&gt;'信用保険料計算書（上限2000万）'!$M$16,0,1)))</f>
        <v>0</v>
      </c>
      <c r="M150" s="209">
        <f>IF(L150=1,HLOOKUP(C150,'計算書（第5回）'!$C$123:$U$124,2,TRUE),0)</f>
        <v>0</v>
      </c>
      <c r="N150" s="209">
        <f>IF('信用保険料計算書（上限2000万）'!$O$15="",0,IF($B150&lt;'信用保険料計算書（上限2000万）'!$O$15,0,IF($B150&gt;'信用保険料計算書（上限2000万）'!$O$16,0,1)))</f>
        <v>0</v>
      </c>
      <c r="O150" s="209">
        <f>IF(N150=1,HLOOKUP(C150,'計算書（第6回）'!$C$123:$U$124,2,TRUE),0)</f>
        <v>0</v>
      </c>
      <c r="P150" s="209">
        <f>IF('信用保険料計算書（上限2000万）'!$Q$15="",0,IF($B150&lt;'信用保険料計算書（上限2000万）'!$Q$15,0,IF($B150&gt;'信用保険料計算書（上限2000万）'!$Q$16,0,1)))</f>
        <v>0</v>
      </c>
      <c r="Q150" s="209">
        <f>IF(P150=1,HLOOKUP(C150,'計算書（第7回）'!$C$123:$U$124,2,TRUE),0)</f>
        <v>0</v>
      </c>
      <c r="R150" s="213"/>
      <c r="S150" s="211">
        <f>COUNTIF($AB$13:$AB$19,"&lt;=2023/7/1")</f>
        <v>2</v>
      </c>
      <c r="T150" s="178">
        <f t="shared" si="17"/>
        <v>44743</v>
      </c>
      <c r="U150" s="181">
        <f t="shared" si="14"/>
        <v>20055349</v>
      </c>
      <c r="V150" s="182">
        <f t="shared" si="12"/>
        <v>20000000</v>
      </c>
      <c r="W150" s="245">
        <f t="shared" si="18"/>
        <v>8000</v>
      </c>
      <c r="X150" s="182"/>
    </row>
    <row r="151" spans="2:24">
      <c r="B151" s="214">
        <f t="shared" si="16"/>
        <v>45139</v>
      </c>
      <c r="C151" s="198">
        <f t="shared" si="13"/>
        <v>45108</v>
      </c>
      <c r="D151" s="209">
        <f>IF(B151&lt;'信用保険料計算書（上限2000万）'!$E$15,0,IF(B151&gt;'信用保険料計算書（上限2000万）'!$E$16,0,1))</f>
        <v>1</v>
      </c>
      <c r="E151" s="209">
        <f>IF(D151=1,HLOOKUP(C151,'計算書（第1回）'!$C$123:$U$124,2,TRUE),0)</f>
        <v>412500</v>
      </c>
      <c r="F151" s="209">
        <f>IF('信用保険料計算書（上限2000万）'!$G$15="",0,IF($B151&lt;'信用保険料計算書（上限2000万）'!$G$15,0,IF($B151&gt;'信用保険料計算書（上限2000万）'!$G$16,0,1)))</f>
        <v>1</v>
      </c>
      <c r="G151" s="209">
        <f>IF(F151=1,HLOOKUP(C151,'計算書（第2回）'!$C$123:$U$124,2,TRUE),0)</f>
        <v>19642849</v>
      </c>
      <c r="H151" s="209">
        <f>IF('信用保険料計算書（上限2000万）'!$I$15="",0,IF($B151&lt;'信用保険料計算書（上限2000万）'!$I$15,0,IF($B151&gt;'信用保険料計算書（上限2000万）'!$I$16,0,1)))</f>
        <v>0</v>
      </c>
      <c r="I151" s="209">
        <f>IF(H151=1,HLOOKUP(C151,'計算書（第3回）'!$C$123:$U$124,2,TRUE),0)</f>
        <v>0</v>
      </c>
      <c r="J151" s="209">
        <f>IF('信用保険料計算書（上限2000万）'!$K$15="",0,IF($B151&lt;'信用保険料計算書（上限2000万）'!$K$15,0,IF($B151&gt;'信用保険料計算書（上限2000万）'!$K$16,0,1)))</f>
        <v>0</v>
      </c>
      <c r="K151" s="209">
        <f>IF(J151=1,HLOOKUP(C151,'計算書（第4回）'!$C$123:$U$124,2,TRUE),0)</f>
        <v>0</v>
      </c>
      <c r="L151" s="209">
        <f>IF('信用保険料計算書（上限2000万）'!$M$15="",0,IF($B151&lt;'信用保険料計算書（上限2000万）'!$M$15,0,IF($B151&gt;'信用保険料計算書（上限2000万）'!$M$16,0,1)))</f>
        <v>0</v>
      </c>
      <c r="M151" s="209">
        <f>IF(L151=1,HLOOKUP(C151,'計算書（第5回）'!$C$123:$U$124,2,TRUE),0)</f>
        <v>0</v>
      </c>
      <c r="N151" s="209">
        <f>IF('信用保険料計算書（上限2000万）'!$O$15="",0,IF($B151&lt;'信用保険料計算書（上限2000万）'!$O$15,0,IF($B151&gt;'信用保険料計算書（上限2000万）'!$O$16,0,1)))</f>
        <v>0</v>
      </c>
      <c r="O151" s="209">
        <f>IF(N151=1,HLOOKUP(C151,'計算書（第6回）'!$C$123:$U$124,2,TRUE),0)</f>
        <v>0</v>
      </c>
      <c r="P151" s="209">
        <f>IF('信用保険料計算書（上限2000万）'!$Q$15="",0,IF($B151&lt;'信用保険料計算書（上限2000万）'!$Q$15,0,IF($B151&gt;'信用保険料計算書（上限2000万）'!$Q$16,0,1)))</f>
        <v>0</v>
      </c>
      <c r="Q151" s="209">
        <f>IF(P151=1,HLOOKUP(C151,'計算書（第7回）'!$C$123:$U$124,2,TRUE),0)</f>
        <v>0</v>
      </c>
      <c r="R151" s="213"/>
      <c r="S151" s="211">
        <f>COUNTIF($AB$13:$AB$19,"&lt;=2023/8/1")</f>
        <v>2</v>
      </c>
      <c r="T151" s="178">
        <f t="shared" si="17"/>
        <v>44743</v>
      </c>
      <c r="U151" s="181">
        <f t="shared" si="14"/>
        <v>20055349</v>
      </c>
      <c r="V151" s="182">
        <f t="shared" si="12"/>
        <v>20000000</v>
      </c>
      <c r="W151" s="245">
        <f t="shared" si="18"/>
        <v>8000</v>
      </c>
      <c r="X151" s="182"/>
    </row>
    <row r="152" spans="2:24">
      <c r="B152" s="214">
        <f t="shared" si="16"/>
        <v>45170</v>
      </c>
      <c r="C152" s="198">
        <f t="shared" si="13"/>
        <v>45139</v>
      </c>
      <c r="D152" s="209">
        <f>IF(B152&lt;'信用保険料計算書（上限2000万）'!$E$15,0,IF(B152&gt;'信用保険料計算書（上限2000万）'!$E$16,0,1))</f>
        <v>1</v>
      </c>
      <c r="E152" s="209">
        <f>IF(D152=1,HLOOKUP(C152,'計算書（第1回）'!$C$123:$U$124,2,TRUE),0)</f>
        <v>412500</v>
      </c>
      <c r="F152" s="209">
        <f>IF('信用保険料計算書（上限2000万）'!$G$15="",0,IF($B152&lt;'信用保険料計算書（上限2000万）'!$G$15,0,IF($B152&gt;'信用保険料計算書（上限2000万）'!$G$16,0,1)))</f>
        <v>1</v>
      </c>
      <c r="G152" s="209">
        <f>IF(F152=1,HLOOKUP(C152,'計算書（第2回）'!$C$123:$U$124,2,TRUE),0)</f>
        <v>19642849</v>
      </c>
      <c r="H152" s="209">
        <f>IF('信用保険料計算書（上限2000万）'!$I$15="",0,IF($B152&lt;'信用保険料計算書（上限2000万）'!$I$15,0,IF($B152&gt;'信用保険料計算書（上限2000万）'!$I$16,0,1)))</f>
        <v>0</v>
      </c>
      <c r="I152" s="209">
        <f>IF(H152=1,HLOOKUP(C152,'計算書（第3回）'!$C$123:$U$124,2,TRUE),0)</f>
        <v>0</v>
      </c>
      <c r="J152" s="209">
        <f>IF('信用保険料計算書（上限2000万）'!$K$15="",0,IF($B152&lt;'信用保険料計算書（上限2000万）'!$K$15,0,IF($B152&gt;'信用保険料計算書（上限2000万）'!$K$16,0,1)))</f>
        <v>0</v>
      </c>
      <c r="K152" s="209">
        <f>IF(J152=1,HLOOKUP(C152,'計算書（第4回）'!$C$123:$U$124,2,TRUE),0)</f>
        <v>0</v>
      </c>
      <c r="L152" s="209">
        <f>IF('信用保険料計算書（上限2000万）'!$M$15="",0,IF($B152&lt;'信用保険料計算書（上限2000万）'!$M$15,0,IF($B152&gt;'信用保険料計算書（上限2000万）'!$M$16,0,1)))</f>
        <v>0</v>
      </c>
      <c r="M152" s="209">
        <f>IF(L152=1,HLOOKUP(C152,'計算書（第5回）'!$C$123:$U$124,2,TRUE),0)</f>
        <v>0</v>
      </c>
      <c r="N152" s="209">
        <f>IF('信用保険料計算書（上限2000万）'!$O$15="",0,IF($B152&lt;'信用保険料計算書（上限2000万）'!$O$15,0,IF($B152&gt;'信用保険料計算書（上限2000万）'!$O$16,0,1)))</f>
        <v>0</v>
      </c>
      <c r="O152" s="209">
        <f>IF(N152=1,HLOOKUP(C152,'計算書（第6回）'!$C$123:$U$124,2,TRUE),0)</f>
        <v>0</v>
      </c>
      <c r="P152" s="209">
        <f>IF('信用保険料計算書（上限2000万）'!$Q$15="",0,IF($B152&lt;'信用保険料計算書（上限2000万）'!$Q$15,0,IF($B152&gt;'信用保険料計算書（上限2000万）'!$Q$16,0,1)))</f>
        <v>0</v>
      </c>
      <c r="Q152" s="209">
        <f>IF(P152=1,HLOOKUP(C152,'計算書（第7回）'!$C$123:$U$124,2,TRUE),0)</f>
        <v>0</v>
      </c>
      <c r="R152" s="213"/>
      <c r="S152" s="211">
        <f>COUNTIF($AB$13:$AB$19,"&lt;=2023/9/1")</f>
        <v>2</v>
      </c>
      <c r="T152" s="178">
        <f t="shared" si="17"/>
        <v>44743</v>
      </c>
      <c r="U152" s="181">
        <f t="shared" si="14"/>
        <v>20055349</v>
      </c>
      <c r="V152" s="182">
        <f t="shared" si="12"/>
        <v>20000000</v>
      </c>
      <c r="W152" s="245">
        <f t="shared" si="18"/>
        <v>8000</v>
      </c>
      <c r="X152" s="183">
        <f>INT(SUM(W147:W152))</f>
        <v>48000</v>
      </c>
    </row>
    <row r="153" spans="2:24">
      <c r="B153" s="214">
        <f t="shared" si="16"/>
        <v>45200</v>
      </c>
      <c r="C153" s="198">
        <f t="shared" si="13"/>
        <v>45170</v>
      </c>
      <c r="D153" s="209">
        <f>IF(B153&lt;'信用保険料計算書（上限2000万）'!$E$15,0,IF(B153&gt;'信用保険料計算書（上限2000万）'!$E$16,0,1))</f>
        <v>1</v>
      </c>
      <c r="E153" s="209">
        <f>IF(D153=1,HLOOKUP(C153,'計算書（第1回）'!$C$123:$U$124,2,TRUE),0)</f>
        <v>343750</v>
      </c>
      <c r="F153" s="209">
        <f>IF('信用保険料計算書（上限2000万）'!$G$15="",0,IF($B153&lt;'信用保険料計算書（上限2000万）'!$G$15,0,IF($B153&gt;'信用保険料計算書（上限2000万）'!$G$16,0,1)))</f>
        <v>1</v>
      </c>
      <c r="G153" s="209">
        <f>IF(F153=1,HLOOKUP(C153,'計算書（第2回）'!$C$123:$U$124,2,TRUE),0)</f>
        <v>18071421</v>
      </c>
      <c r="H153" s="209">
        <f>IF('信用保険料計算書（上限2000万）'!$I$15="",0,IF($B153&lt;'信用保険料計算書（上限2000万）'!$I$15,0,IF($B153&gt;'信用保険料計算書（上限2000万）'!$I$16,0,1)))</f>
        <v>0</v>
      </c>
      <c r="I153" s="209">
        <f>IF(H153=1,HLOOKUP(C153,'計算書（第3回）'!$C$123:$U$124,2,TRUE),0)</f>
        <v>0</v>
      </c>
      <c r="J153" s="209">
        <f>IF('信用保険料計算書（上限2000万）'!$K$15="",0,IF($B153&lt;'信用保険料計算書（上限2000万）'!$K$15,0,IF($B153&gt;'信用保険料計算書（上限2000万）'!$K$16,0,1)))</f>
        <v>0</v>
      </c>
      <c r="K153" s="209">
        <f>IF(J153=1,HLOOKUP(C153,'計算書（第4回）'!$C$123:$U$124,2,TRUE),0)</f>
        <v>0</v>
      </c>
      <c r="L153" s="209">
        <f>IF('信用保険料計算書（上限2000万）'!$M$15="",0,IF($B153&lt;'信用保険料計算書（上限2000万）'!$M$15,0,IF($B153&gt;'信用保険料計算書（上限2000万）'!$M$16,0,1)))</f>
        <v>0</v>
      </c>
      <c r="M153" s="209">
        <f>IF(L153=1,HLOOKUP(C153,'計算書（第5回）'!$C$123:$U$124,2,TRUE),0)</f>
        <v>0</v>
      </c>
      <c r="N153" s="209">
        <f>IF('信用保険料計算書（上限2000万）'!$O$15="",0,IF($B153&lt;'信用保険料計算書（上限2000万）'!$O$15,0,IF($B153&gt;'信用保険料計算書（上限2000万）'!$O$16,0,1)))</f>
        <v>0</v>
      </c>
      <c r="O153" s="209">
        <f>IF(N153=1,HLOOKUP(C153,'計算書（第6回）'!$C$123:$U$124,2,TRUE),0)</f>
        <v>0</v>
      </c>
      <c r="P153" s="209">
        <f>IF('信用保険料計算書（上限2000万）'!$Q$15="",0,IF($B153&lt;'信用保険料計算書（上限2000万）'!$Q$15,0,IF($B153&gt;'信用保険料計算書（上限2000万）'!$Q$16,0,1)))</f>
        <v>0</v>
      </c>
      <c r="Q153" s="209">
        <f>IF(P153=1,HLOOKUP(C153,'計算書（第7回）'!$C$123:$U$124,2,TRUE),0)</f>
        <v>0</v>
      </c>
      <c r="R153" s="213"/>
      <c r="S153" s="211">
        <f>COUNTIF($AB$13:$AB$19,"&lt;=2023/10/1")</f>
        <v>2</v>
      </c>
      <c r="T153" s="178">
        <f t="shared" si="17"/>
        <v>44743</v>
      </c>
      <c r="U153" s="181">
        <f t="shared" si="14"/>
        <v>18415171</v>
      </c>
      <c r="V153" s="182">
        <f t="shared" si="12"/>
        <v>18415171</v>
      </c>
      <c r="W153" s="245">
        <f t="shared" si="18"/>
        <v>7366.06</v>
      </c>
      <c r="X153" s="182"/>
    </row>
    <row r="154" spans="2:24">
      <c r="B154" s="214">
        <f t="shared" si="16"/>
        <v>45231</v>
      </c>
      <c r="C154" s="198">
        <f t="shared" si="13"/>
        <v>45200</v>
      </c>
      <c r="D154" s="209">
        <f>IF(B154&lt;'信用保険料計算書（上限2000万）'!$E$15,0,IF(B154&gt;'信用保険料計算書（上限2000万）'!$E$16,0,1))</f>
        <v>1</v>
      </c>
      <c r="E154" s="209">
        <f>IF(D154=1,HLOOKUP(C154,'計算書（第1回）'!$C$123:$U$124,2,TRUE),0)</f>
        <v>343750</v>
      </c>
      <c r="F154" s="209">
        <f>IF('信用保険料計算書（上限2000万）'!$G$15="",0,IF($B154&lt;'信用保険料計算書（上限2000万）'!$G$15,0,IF($B154&gt;'信用保険料計算書（上限2000万）'!$G$16,0,1)))</f>
        <v>1</v>
      </c>
      <c r="G154" s="209">
        <f>IF(F154=1,HLOOKUP(C154,'計算書（第2回）'!$C$123:$U$124,2,TRUE),0)</f>
        <v>18071421</v>
      </c>
      <c r="H154" s="209">
        <f>IF('信用保険料計算書（上限2000万）'!$I$15="",0,IF($B154&lt;'信用保険料計算書（上限2000万）'!$I$15,0,IF($B154&gt;'信用保険料計算書（上限2000万）'!$I$16,0,1)))</f>
        <v>0</v>
      </c>
      <c r="I154" s="209">
        <f>IF(H154=1,HLOOKUP(C154,'計算書（第3回）'!$C$123:$U$124,2,TRUE),0)</f>
        <v>0</v>
      </c>
      <c r="J154" s="209">
        <f>IF('信用保険料計算書（上限2000万）'!$K$15="",0,IF($B154&lt;'信用保険料計算書（上限2000万）'!$K$15,0,IF($B154&gt;'信用保険料計算書（上限2000万）'!$K$16,0,1)))</f>
        <v>0</v>
      </c>
      <c r="K154" s="209">
        <f>IF(J154=1,HLOOKUP(C154,'計算書（第4回）'!$C$123:$U$124,2,TRUE),0)</f>
        <v>0</v>
      </c>
      <c r="L154" s="209">
        <f>IF('信用保険料計算書（上限2000万）'!$M$15="",0,IF($B154&lt;'信用保険料計算書（上限2000万）'!$M$15,0,IF($B154&gt;'信用保険料計算書（上限2000万）'!$M$16,0,1)))</f>
        <v>0</v>
      </c>
      <c r="M154" s="209">
        <f>IF(L154=1,HLOOKUP(C154,'計算書（第5回）'!$C$123:$U$124,2,TRUE),0)</f>
        <v>0</v>
      </c>
      <c r="N154" s="209">
        <f>IF('信用保険料計算書（上限2000万）'!$O$15="",0,IF($B154&lt;'信用保険料計算書（上限2000万）'!$O$15,0,IF($B154&gt;'信用保険料計算書（上限2000万）'!$O$16,0,1)))</f>
        <v>0</v>
      </c>
      <c r="O154" s="209">
        <f>IF(N154=1,HLOOKUP(C154,'計算書（第6回）'!$C$123:$U$124,2,TRUE),0)</f>
        <v>0</v>
      </c>
      <c r="P154" s="209">
        <f>IF('信用保険料計算書（上限2000万）'!$Q$15="",0,IF($B154&lt;'信用保険料計算書（上限2000万）'!$Q$15,0,IF($B154&gt;'信用保険料計算書（上限2000万）'!$Q$16,0,1)))</f>
        <v>0</v>
      </c>
      <c r="Q154" s="209">
        <f>IF(P154=1,HLOOKUP(C154,'計算書（第7回）'!$C$123:$U$124,2,TRUE),0)</f>
        <v>0</v>
      </c>
      <c r="R154" s="213"/>
      <c r="S154" s="211">
        <f>COUNTIF($AB$13:$AB$19,"&lt;=2023/11/1")</f>
        <v>2</v>
      </c>
      <c r="T154" s="178">
        <f t="shared" si="17"/>
        <v>44743</v>
      </c>
      <c r="U154" s="181">
        <f t="shared" si="14"/>
        <v>18415171</v>
      </c>
      <c r="V154" s="182">
        <f t="shared" si="12"/>
        <v>18415171</v>
      </c>
      <c r="W154" s="245">
        <f t="shared" si="18"/>
        <v>7366.06</v>
      </c>
      <c r="X154" s="182"/>
    </row>
    <row r="155" spans="2:24">
      <c r="B155" s="214">
        <f t="shared" si="16"/>
        <v>45261</v>
      </c>
      <c r="C155" s="198">
        <f t="shared" si="13"/>
        <v>45231</v>
      </c>
      <c r="D155" s="209">
        <f>IF(B155&lt;'信用保険料計算書（上限2000万）'!$E$15,0,IF(B155&gt;'信用保険料計算書（上限2000万）'!$E$16,0,1))</f>
        <v>1</v>
      </c>
      <c r="E155" s="209">
        <f>IF(D155=1,HLOOKUP(C155,'計算書（第1回）'!$C$123:$U$124,2,TRUE),0)</f>
        <v>343750</v>
      </c>
      <c r="F155" s="209">
        <f>IF('信用保険料計算書（上限2000万）'!$G$15="",0,IF($B155&lt;'信用保険料計算書（上限2000万）'!$G$15,0,IF($B155&gt;'信用保険料計算書（上限2000万）'!$G$16,0,1)))</f>
        <v>1</v>
      </c>
      <c r="G155" s="209">
        <f>IF(F155=1,HLOOKUP(C155,'計算書（第2回）'!$C$123:$U$124,2,TRUE),0)</f>
        <v>18071421</v>
      </c>
      <c r="H155" s="209">
        <f>IF('信用保険料計算書（上限2000万）'!$I$15="",0,IF($B155&lt;'信用保険料計算書（上限2000万）'!$I$15,0,IF($B155&gt;'信用保険料計算書（上限2000万）'!$I$16,0,1)))</f>
        <v>0</v>
      </c>
      <c r="I155" s="209">
        <f>IF(H155=1,HLOOKUP(C155,'計算書（第3回）'!$C$123:$U$124,2,TRUE),0)</f>
        <v>0</v>
      </c>
      <c r="J155" s="209">
        <f>IF('信用保険料計算書（上限2000万）'!$K$15="",0,IF($B155&lt;'信用保険料計算書（上限2000万）'!$K$15,0,IF($B155&gt;'信用保険料計算書（上限2000万）'!$K$16,0,1)))</f>
        <v>0</v>
      </c>
      <c r="K155" s="209">
        <f>IF(J155=1,HLOOKUP(C155,'計算書（第4回）'!$C$123:$U$124,2,TRUE),0)</f>
        <v>0</v>
      </c>
      <c r="L155" s="209">
        <f>IF('信用保険料計算書（上限2000万）'!$M$15="",0,IF($B155&lt;'信用保険料計算書（上限2000万）'!$M$15,0,IF($B155&gt;'信用保険料計算書（上限2000万）'!$M$16,0,1)))</f>
        <v>0</v>
      </c>
      <c r="M155" s="209">
        <f>IF(L155=1,HLOOKUP(C155,'計算書（第5回）'!$C$123:$U$124,2,TRUE),0)</f>
        <v>0</v>
      </c>
      <c r="N155" s="209">
        <f>IF('信用保険料計算書（上限2000万）'!$O$15="",0,IF($B155&lt;'信用保険料計算書（上限2000万）'!$O$15,0,IF($B155&gt;'信用保険料計算書（上限2000万）'!$O$16,0,1)))</f>
        <v>0</v>
      </c>
      <c r="O155" s="209">
        <f>IF(N155=1,HLOOKUP(C155,'計算書（第6回）'!$C$123:$U$124,2,TRUE),0)</f>
        <v>0</v>
      </c>
      <c r="P155" s="209">
        <f>IF('信用保険料計算書（上限2000万）'!$Q$15="",0,IF($B155&lt;'信用保険料計算書（上限2000万）'!$Q$15,0,IF($B155&gt;'信用保険料計算書（上限2000万）'!$Q$16,0,1)))</f>
        <v>0</v>
      </c>
      <c r="Q155" s="209">
        <f>IF(P155=1,HLOOKUP(C155,'計算書（第7回）'!$C$123:$U$124,2,TRUE),0)</f>
        <v>0</v>
      </c>
      <c r="R155" s="213"/>
      <c r="S155" s="211">
        <f>COUNTIF($AB$13:$AB$19,"&lt;=2023/12/1")</f>
        <v>2</v>
      </c>
      <c r="T155" s="178">
        <f t="shared" si="17"/>
        <v>44743</v>
      </c>
      <c r="U155" s="181">
        <f t="shared" si="14"/>
        <v>18415171</v>
      </c>
      <c r="V155" s="182">
        <f t="shared" si="12"/>
        <v>18415171</v>
      </c>
      <c r="W155" s="245">
        <f t="shared" si="18"/>
        <v>7366.06</v>
      </c>
      <c r="X155" s="182"/>
    </row>
    <row r="156" spans="2:24">
      <c r="B156" s="214">
        <f t="shared" si="16"/>
        <v>45292</v>
      </c>
      <c r="C156" s="198">
        <f t="shared" si="13"/>
        <v>45261</v>
      </c>
      <c r="D156" s="209">
        <f>IF(B156&lt;'信用保険料計算書（上限2000万）'!$E$15,0,IF(B156&gt;'信用保険料計算書（上限2000万）'!$E$16,0,1))</f>
        <v>1</v>
      </c>
      <c r="E156" s="209">
        <f>IF(D156=1,HLOOKUP(C156,'計算書（第1回）'!$C$123:$U$124,2,TRUE),0)</f>
        <v>343750</v>
      </c>
      <c r="F156" s="209">
        <f>IF('信用保険料計算書（上限2000万）'!$G$15="",0,IF($B156&lt;'信用保険料計算書（上限2000万）'!$G$15,0,IF($B156&gt;'信用保険料計算書（上限2000万）'!$G$16,0,1)))</f>
        <v>1</v>
      </c>
      <c r="G156" s="209">
        <f>IF(F156=1,HLOOKUP(C156,'計算書（第2回）'!$C$123:$U$124,2,TRUE),0)</f>
        <v>18071421</v>
      </c>
      <c r="H156" s="209">
        <f>IF('信用保険料計算書（上限2000万）'!$I$15="",0,IF($B156&lt;'信用保険料計算書（上限2000万）'!$I$15,0,IF($B156&gt;'信用保険料計算書（上限2000万）'!$I$16,0,1)))</f>
        <v>0</v>
      </c>
      <c r="I156" s="209">
        <f>IF(H156=1,HLOOKUP(C156,'計算書（第3回）'!$C$123:$U$124,2,TRUE),0)</f>
        <v>0</v>
      </c>
      <c r="J156" s="209">
        <f>IF('信用保険料計算書（上限2000万）'!$K$15="",0,IF($B156&lt;'信用保険料計算書（上限2000万）'!$K$15,0,IF($B156&gt;'信用保険料計算書（上限2000万）'!$K$16,0,1)))</f>
        <v>0</v>
      </c>
      <c r="K156" s="209">
        <f>IF(J156=1,HLOOKUP(C156,'計算書（第4回）'!$C$123:$U$124,2,TRUE),0)</f>
        <v>0</v>
      </c>
      <c r="L156" s="209">
        <f>IF('信用保険料計算書（上限2000万）'!$M$15="",0,IF($B156&lt;'信用保険料計算書（上限2000万）'!$M$15,0,IF($B156&gt;'信用保険料計算書（上限2000万）'!$M$16,0,1)))</f>
        <v>0</v>
      </c>
      <c r="M156" s="209">
        <f>IF(L156=1,HLOOKUP(C156,'計算書（第5回）'!$C$123:$U$124,2,TRUE),0)</f>
        <v>0</v>
      </c>
      <c r="N156" s="209">
        <f>IF('信用保険料計算書（上限2000万）'!$O$15="",0,IF($B156&lt;'信用保険料計算書（上限2000万）'!$O$15,0,IF($B156&gt;'信用保険料計算書（上限2000万）'!$O$16,0,1)))</f>
        <v>0</v>
      </c>
      <c r="O156" s="209">
        <f>IF(N156=1,HLOOKUP(C156,'計算書（第6回）'!$C$123:$U$124,2,TRUE),0)</f>
        <v>0</v>
      </c>
      <c r="P156" s="209">
        <f>IF('信用保険料計算書（上限2000万）'!$Q$15="",0,IF($B156&lt;'信用保険料計算書（上限2000万）'!$Q$15,0,IF($B156&gt;'信用保険料計算書（上限2000万）'!$Q$16,0,1)))</f>
        <v>0</v>
      </c>
      <c r="Q156" s="209">
        <f>IF(P156=1,HLOOKUP(C156,'計算書（第7回）'!$C$123:$U$124,2,TRUE),0)</f>
        <v>0</v>
      </c>
      <c r="R156" s="212"/>
      <c r="S156" s="211">
        <f>COUNTIF($AB$13:$AB$19,"&lt;=2024/1/1")</f>
        <v>2</v>
      </c>
      <c r="T156" s="178">
        <f t="shared" si="17"/>
        <v>44743</v>
      </c>
      <c r="U156" s="181">
        <f t="shared" si="14"/>
        <v>18415171</v>
      </c>
      <c r="V156" s="182">
        <f t="shared" si="12"/>
        <v>18415171</v>
      </c>
      <c r="W156" s="245">
        <f t="shared" si="18"/>
        <v>7366.06</v>
      </c>
      <c r="X156" s="182"/>
    </row>
    <row r="157" spans="2:24">
      <c r="B157" s="214">
        <f t="shared" si="16"/>
        <v>45323</v>
      </c>
      <c r="C157" s="198">
        <f t="shared" si="13"/>
        <v>45292</v>
      </c>
      <c r="D157" s="209">
        <f>IF(B157&lt;'信用保険料計算書（上限2000万）'!$E$15,0,IF(B157&gt;'信用保険料計算書（上限2000万）'!$E$16,0,1))</f>
        <v>1</v>
      </c>
      <c r="E157" s="209">
        <f>IF(D157=1,HLOOKUP(C157,'計算書（第1回）'!$C$123:$U$124,2,TRUE),0)</f>
        <v>343750</v>
      </c>
      <c r="F157" s="209">
        <f>IF('信用保険料計算書（上限2000万）'!$G$15="",0,IF($B157&lt;'信用保険料計算書（上限2000万）'!$G$15,0,IF($B157&gt;'信用保険料計算書（上限2000万）'!$G$16,0,1)))</f>
        <v>1</v>
      </c>
      <c r="G157" s="209">
        <f>IF(F157=1,HLOOKUP(C157,'計算書（第2回）'!$C$123:$U$124,2,TRUE),0)</f>
        <v>18071421</v>
      </c>
      <c r="H157" s="209">
        <f>IF('信用保険料計算書（上限2000万）'!$I$15="",0,IF($B157&lt;'信用保険料計算書（上限2000万）'!$I$15,0,IF($B157&gt;'信用保険料計算書（上限2000万）'!$I$16,0,1)))</f>
        <v>0</v>
      </c>
      <c r="I157" s="209">
        <f>IF(H157=1,HLOOKUP(C157,'計算書（第3回）'!$C$123:$U$124,2,TRUE),0)</f>
        <v>0</v>
      </c>
      <c r="J157" s="209">
        <f>IF('信用保険料計算書（上限2000万）'!$K$15="",0,IF($B157&lt;'信用保険料計算書（上限2000万）'!$K$15,0,IF($B157&gt;'信用保険料計算書（上限2000万）'!$K$16,0,1)))</f>
        <v>0</v>
      </c>
      <c r="K157" s="209">
        <f>IF(J157=1,HLOOKUP(C157,'計算書（第4回）'!$C$123:$U$124,2,TRUE),0)</f>
        <v>0</v>
      </c>
      <c r="L157" s="209">
        <f>IF('信用保険料計算書（上限2000万）'!$M$15="",0,IF($B157&lt;'信用保険料計算書（上限2000万）'!$M$15,0,IF($B157&gt;'信用保険料計算書（上限2000万）'!$M$16,0,1)))</f>
        <v>0</v>
      </c>
      <c r="M157" s="209">
        <f>IF(L157=1,HLOOKUP(C157,'計算書（第5回）'!$C$123:$U$124,2,TRUE),0)</f>
        <v>0</v>
      </c>
      <c r="N157" s="209">
        <f>IF('信用保険料計算書（上限2000万）'!$O$15="",0,IF($B157&lt;'信用保険料計算書（上限2000万）'!$O$15,0,IF($B157&gt;'信用保険料計算書（上限2000万）'!$O$16,0,1)))</f>
        <v>0</v>
      </c>
      <c r="O157" s="209">
        <f>IF(N157=1,HLOOKUP(C157,'計算書（第6回）'!$C$123:$U$124,2,TRUE),0)</f>
        <v>0</v>
      </c>
      <c r="P157" s="209">
        <f>IF('信用保険料計算書（上限2000万）'!$Q$15="",0,IF($B157&lt;'信用保険料計算書（上限2000万）'!$Q$15,0,IF($B157&gt;'信用保険料計算書（上限2000万）'!$Q$16,0,1)))</f>
        <v>0</v>
      </c>
      <c r="Q157" s="209">
        <f>IF(P157=1,HLOOKUP(C157,'計算書（第7回）'!$C$123:$U$124,2,TRUE),0)</f>
        <v>0</v>
      </c>
      <c r="R157" s="212"/>
      <c r="S157" s="211">
        <f>COUNTIF($AB$13:$AB$19,"&lt;=2024/2/1")</f>
        <v>2</v>
      </c>
      <c r="T157" s="178">
        <f t="shared" si="17"/>
        <v>44743</v>
      </c>
      <c r="U157" s="181">
        <f t="shared" si="14"/>
        <v>18415171</v>
      </c>
      <c r="V157" s="182">
        <f t="shared" si="12"/>
        <v>18415171</v>
      </c>
      <c r="W157" s="245">
        <f t="shared" si="18"/>
        <v>7366.06</v>
      </c>
      <c r="X157" s="182"/>
    </row>
    <row r="158" spans="2:24">
      <c r="B158" s="214">
        <f t="shared" si="16"/>
        <v>45352</v>
      </c>
      <c r="C158" s="198">
        <f t="shared" si="13"/>
        <v>45323</v>
      </c>
      <c r="D158" s="209">
        <f>IF(B158&lt;'信用保険料計算書（上限2000万）'!$E$15,0,IF(B158&gt;'信用保険料計算書（上限2000万）'!$E$16,0,1))</f>
        <v>1</v>
      </c>
      <c r="E158" s="209">
        <f>IF(D158=1,HLOOKUP(C158,'計算書（第1回）'!$C$123:$U$124,2,TRUE),0)</f>
        <v>343750</v>
      </c>
      <c r="F158" s="209">
        <f>IF('信用保険料計算書（上限2000万）'!$G$15="",0,IF($B158&lt;'信用保険料計算書（上限2000万）'!$G$15,0,IF($B158&gt;'信用保険料計算書（上限2000万）'!$G$16,0,1)))</f>
        <v>1</v>
      </c>
      <c r="G158" s="209">
        <f>IF(F158=1,HLOOKUP(C158,'計算書（第2回）'!$C$123:$U$124,2,TRUE),0)</f>
        <v>18071421</v>
      </c>
      <c r="H158" s="209">
        <f>IF('信用保険料計算書（上限2000万）'!$I$15="",0,IF($B158&lt;'信用保険料計算書（上限2000万）'!$I$15,0,IF($B158&gt;'信用保険料計算書（上限2000万）'!$I$16,0,1)))</f>
        <v>0</v>
      </c>
      <c r="I158" s="209">
        <f>IF(H158=1,HLOOKUP(C158,'計算書（第3回）'!$C$123:$U$124,2,TRUE),0)</f>
        <v>0</v>
      </c>
      <c r="J158" s="209">
        <f>IF('信用保険料計算書（上限2000万）'!$K$15="",0,IF($B158&lt;'信用保険料計算書（上限2000万）'!$K$15,0,IF($B158&gt;'信用保険料計算書（上限2000万）'!$K$16,0,1)))</f>
        <v>0</v>
      </c>
      <c r="K158" s="209">
        <f>IF(J158=1,HLOOKUP(C158,'計算書（第4回）'!$C$123:$U$124,2,TRUE),0)</f>
        <v>0</v>
      </c>
      <c r="L158" s="209">
        <f>IF('信用保険料計算書（上限2000万）'!$M$15="",0,IF($B158&lt;'信用保険料計算書（上限2000万）'!$M$15,0,IF($B158&gt;'信用保険料計算書（上限2000万）'!$M$16,0,1)))</f>
        <v>0</v>
      </c>
      <c r="M158" s="209">
        <f>IF(L158=1,HLOOKUP(C158,'計算書（第5回）'!$C$123:$U$124,2,TRUE),0)</f>
        <v>0</v>
      </c>
      <c r="N158" s="209">
        <f>IF('信用保険料計算書（上限2000万）'!$O$15="",0,IF($B158&lt;'信用保険料計算書（上限2000万）'!$O$15,0,IF($B158&gt;'信用保険料計算書（上限2000万）'!$O$16,0,1)))</f>
        <v>0</v>
      </c>
      <c r="O158" s="209">
        <f>IF(N158=1,HLOOKUP(C158,'計算書（第6回）'!$C$123:$U$124,2,TRUE),0)</f>
        <v>0</v>
      </c>
      <c r="P158" s="209">
        <f>IF('信用保険料計算書（上限2000万）'!$Q$15="",0,IF($B158&lt;'信用保険料計算書（上限2000万）'!$Q$15,0,IF($B158&gt;'信用保険料計算書（上限2000万）'!$Q$16,0,1)))</f>
        <v>0</v>
      </c>
      <c r="Q158" s="209">
        <f>IF(P158=1,HLOOKUP(C158,'計算書（第7回）'!$C$123:$U$124,2,TRUE),0)</f>
        <v>0</v>
      </c>
      <c r="R158" s="212"/>
      <c r="S158" s="211">
        <f>COUNTIF($AB$13:$AB$19,"&lt;=2024/3/1")</f>
        <v>2</v>
      </c>
      <c r="T158" s="178">
        <f t="shared" si="17"/>
        <v>44743</v>
      </c>
      <c r="U158" s="181">
        <f t="shared" si="14"/>
        <v>18415171</v>
      </c>
      <c r="V158" s="182">
        <f t="shared" si="12"/>
        <v>18415171</v>
      </c>
      <c r="W158" s="245">
        <f t="shared" si="18"/>
        <v>7366.06</v>
      </c>
      <c r="X158" s="183">
        <f>INT(SUM(W153:W158))</f>
        <v>44196</v>
      </c>
    </row>
    <row r="159" spans="2:24">
      <c r="B159" s="214">
        <f t="shared" si="16"/>
        <v>45383</v>
      </c>
      <c r="C159" s="198">
        <f t="shared" si="13"/>
        <v>45352</v>
      </c>
      <c r="D159" s="209">
        <f>IF(B159&lt;'信用保険料計算書（上限2000万）'!$E$15,0,IF(B159&gt;'信用保険料計算書（上限2000万）'!$E$16,0,1))</f>
        <v>1</v>
      </c>
      <c r="E159" s="209">
        <f>IF(D159=1,HLOOKUP(C159,'計算書（第1回）'!$C$123:$U$124,2,TRUE),0)</f>
        <v>275000</v>
      </c>
      <c r="F159" s="209">
        <f>IF('信用保険料計算書（上限2000万）'!$G$15="",0,IF($B159&lt;'信用保険料計算書（上限2000万）'!$G$15,0,IF($B159&gt;'信用保険料計算書（上限2000万）'!$G$16,0,1)))</f>
        <v>1</v>
      </c>
      <c r="G159" s="209">
        <f>IF(F159=1,HLOOKUP(C159,'計算書（第2回）'!$C$123:$U$124,2,TRUE),0)</f>
        <v>16499993</v>
      </c>
      <c r="H159" s="209">
        <f>IF('信用保険料計算書（上限2000万）'!$I$15="",0,IF($B159&lt;'信用保険料計算書（上限2000万）'!$I$15,0,IF($B159&gt;'信用保険料計算書（上限2000万）'!$I$16,0,1)))</f>
        <v>0</v>
      </c>
      <c r="I159" s="209">
        <f>IF(H159=1,HLOOKUP(C159,'計算書（第3回）'!$C$123:$U$124,2,TRUE),0)</f>
        <v>0</v>
      </c>
      <c r="J159" s="209">
        <f>IF('信用保険料計算書（上限2000万）'!$K$15="",0,IF($B159&lt;'信用保険料計算書（上限2000万）'!$K$15,0,IF($B159&gt;'信用保険料計算書（上限2000万）'!$K$16,0,1)))</f>
        <v>0</v>
      </c>
      <c r="K159" s="209">
        <f>IF(J159=1,HLOOKUP(C159,'計算書（第4回）'!$C$123:$U$124,2,TRUE),0)</f>
        <v>0</v>
      </c>
      <c r="L159" s="209">
        <f>IF('信用保険料計算書（上限2000万）'!$M$15="",0,IF($B159&lt;'信用保険料計算書（上限2000万）'!$M$15,0,IF($B159&gt;'信用保険料計算書（上限2000万）'!$M$16,0,1)))</f>
        <v>0</v>
      </c>
      <c r="M159" s="209">
        <f>IF(L159=1,HLOOKUP(C159,'計算書（第5回）'!$C$123:$U$124,2,TRUE),0)</f>
        <v>0</v>
      </c>
      <c r="N159" s="209">
        <f>IF('信用保険料計算書（上限2000万）'!$O$15="",0,IF($B159&lt;'信用保険料計算書（上限2000万）'!$O$15,0,IF($B159&gt;'信用保険料計算書（上限2000万）'!$O$16,0,1)))</f>
        <v>0</v>
      </c>
      <c r="O159" s="209">
        <f>IF(N159=1,HLOOKUP(C159,'計算書（第6回）'!$C$123:$U$124,2,TRUE),0)</f>
        <v>0</v>
      </c>
      <c r="P159" s="209">
        <f>IF('信用保険料計算書（上限2000万）'!$Q$15="",0,IF($B159&lt;'信用保険料計算書（上限2000万）'!$Q$15,0,IF($B159&gt;'信用保険料計算書（上限2000万）'!$Q$16,0,1)))</f>
        <v>0</v>
      </c>
      <c r="Q159" s="209">
        <f>IF(P159=1,HLOOKUP(C159,'計算書（第7回）'!$C$123:$U$124,2,TRUE),0)</f>
        <v>0</v>
      </c>
      <c r="R159" s="212"/>
      <c r="S159" s="211">
        <f>COUNTIF($AB$13:$AB$19,"&lt;=2024/4/1")</f>
        <v>2</v>
      </c>
      <c r="T159" s="178">
        <f t="shared" si="17"/>
        <v>44743</v>
      </c>
      <c r="U159" s="181">
        <f t="shared" si="14"/>
        <v>16774993</v>
      </c>
      <c r="V159" s="182">
        <f t="shared" si="12"/>
        <v>16774993</v>
      </c>
      <c r="W159" s="245">
        <f t="shared" si="18"/>
        <v>6709.99</v>
      </c>
      <c r="X159" s="182"/>
    </row>
    <row r="160" spans="2:24">
      <c r="B160" s="214">
        <f t="shared" si="16"/>
        <v>45413</v>
      </c>
      <c r="C160" s="198">
        <f t="shared" si="13"/>
        <v>45383</v>
      </c>
      <c r="D160" s="209">
        <f>IF(B160&lt;'信用保険料計算書（上限2000万）'!$E$15,0,IF(B160&gt;'信用保険料計算書（上限2000万）'!$E$16,0,1))</f>
        <v>1</v>
      </c>
      <c r="E160" s="209">
        <f>IF(D160=1,HLOOKUP(C160,'計算書（第1回）'!$C$123:$U$124,2,TRUE),0)</f>
        <v>275000</v>
      </c>
      <c r="F160" s="209">
        <f>IF('信用保険料計算書（上限2000万）'!$G$15="",0,IF($B160&lt;'信用保険料計算書（上限2000万）'!$G$15,0,IF($B160&gt;'信用保険料計算書（上限2000万）'!$G$16,0,1)))</f>
        <v>1</v>
      </c>
      <c r="G160" s="209">
        <f>IF(F160=1,HLOOKUP(C160,'計算書（第2回）'!$C$123:$U$124,2,TRUE),0)</f>
        <v>16499993</v>
      </c>
      <c r="H160" s="209">
        <f>IF('信用保険料計算書（上限2000万）'!$I$15="",0,IF($B160&lt;'信用保険料計算書（上限2000万）'!$I$15,0,IF($B160&gt;'信用保険料計算書（上限2000万）'!$I$16,0,1)))</f>
        <v>0</v>
      </c>
      <c r="I160" s="209">
        <f>IF(H160=1,HLOOKUP(C160,'計算書（第3回）'!$C$123:$U$124,2,TRUE),0)</f>
        <v>0</v>
      </c>
      <c r="J160" s="209">
        <f>IF('信用保険料計算書（上限2000万）'!$K$15="",0,IF($B160&lt;'信用保険料計算書（上限2000万）'!$K$15,0,IF($B160&gt;'信用保険料計算書（上限2000万）'!$K$16,0,1)))</f>
        <v>0</v>
      </c>
      <c r="K160" s="209">
        <f>IF(J160=1,HLOOKUP(C160,'計算書（第4回）'!$C$123:$U$124,2,TRUE),0)</f>
        <v>0</v>
      </c>
      <c r="L160" s="209">
        <f>IF('信用保険料計算書（上限2000万）'!$M$15="",0,IF($B160&lt;'信用保険料計算書（上限2000万）'!$M$15,0,IF($B160&gt;'信用保険料計算書（上限2000万）'!$M$16,0,1)))</f>
        <v>0</v>
      </c>
      <c r="M160" s="209">
        <f>IF(L160=1,HLOOKUP(C160,'計算書（第5回）'!$C$123:$U$124,2,TRUE),0)</f>
        <v>0</v>
      </c>
      <c r="N160" s="209">
        <f>IF('信用保険料計算書（上限2000万）'!$O$15="",0,IF($B160&lt;'信用保険料計算書（上限2000万）'!$O$15,0,IF($B160&gt;'信用保険料計算書（上限2000万）'!$O$16,0,1)))</f>
        <v>0</v>
      </c>
      <c r="O160" s="209">
        <f>IF(N160=1,HLOOKUP(C160,'計算書（第6回）'!$C$123:$U$124,2,TRUE),0)</f>
        <v>0</v>
      </c>
      <c r="P160" s="209">
        <f>IF('信用保険料計算書（上限2000万）'!$Q$15="",0,IF($B160&lt;'信用保険料計算書（上限2000万）'!$Q$15,0,IF($B160&gt;'信用保険料計算書（上限2000万）'!$Q$16,0,1)))</f>
        <v>0</v>
      </c>
      <c r="Q160" s="209">
        <f>IF(P160=1,HLOOKUP(C160,'計算書（第7回）'!$C$123:$U$124,2,TRUE),0)</f>
        <v>0</v>
      </c>
      <c r="R160" s="212"/>
      <c r="S160" s="211">
        <f>COUNTIF($AB$13:$AB$19,"&lt;=2024/5/1")</f>
        <v>2</v>
      </c>
      <c r="T160" s="178">
        <f t="shared" si="17"/>
        <v>44743</v>
      </c>
      <c r="U160" s="181">
        <f t="shared" si="14"/>
        <v>16774993</v>
      </c>
      <c r="V160" s="182">
        <f t="shared" si="12"/>
        <v>16774993</v>
      </c>
      <c r="W160" s="245">
        <f t="shared" si="18"/>
        <v>6709.99</v>
      </c>
      <c r="X160" s="182"/>
    </row>
    <row r="161" spans="2:24">
      <c r="B161" s="214">
        <f t="shared" si="16"/>
        <v>45444</v>
      </c>
      <c r="C161" s="198">
        <f t="shared" si="13"/>
        <v>45413</v>
      </c>
      <c r="D161" s="209">
        <f>IF(B161&lt;'信用保険料計算書（上限2000万）'!$E$15,0,IF(B161&gt;'信用保険料計算書（上限2000万）'!$E$16,0,1))</f>
        <v>1</v>
      </c>
      <c r="E161" s="209">
        <f>IF(D161=1,HLOOKUP(C161,'計算書（第1回）'!$C$123:$U$124,2,TRUE),0)</f>
        <v>275000</v>
      </c>
      <c r="F161" s="209">
        <f>IF('信用保険料計算書（上限2000万）'!$G$15="",0,IF($B161&lt;'信用保険料計算書（上限2000万）'!$G$15,0,IF($B161&gt;'信用保険料計算書（上限2000万）'!$G$16,0,1)))</f>
        <v>1</v>
      </c>
      <c r="G161" s="209">
        <f>IF(F161=1,HLOOKUP(C161,'計算書（第2回）'!$C$123:$U$124,2,TRUE),0)</f>
        <v>16499993</v>
      </c>
      <c r="H161" s="209">
        <f>IF('信用保険料計算書（上限2000万）'!$I$15="",0,IF($B161&lt;'信用保険料計算書（上限2000万）'!$I$15,0,IF($B161&gt;'信用保険料計算書（上限2000万）'!$I$16,0,1)))</f>
        <v>0</v>
      </c>
      <c r="I161" s="209">
        <f>IF(H161=1,HLOOKUP(C161,'計算書（第3回）'!$C$123:$U$124,2,TRUE),0)</f>
        <v>0</v>
      </c>
      <c r="J161" s="209">
        <f>IF('信用保険料計算書（上限2000万）'!$K$15="",0,IF($B161&lt;'信用保険料計算書（上限2000万）'!$K$15,0,IF($B161&gt;'信用保険料計算書（上限2000万）'!$K$16,0,1)))</f>
        <v>0</v>
      </c>
      <c r="K161" s="209">
        <f>IF(J161=1,HLOOKUP(C161,'計算書（第4回）'!$C$123:$U$124,2,TRUE),0)</f>
        <v>0</v>
      </c>
      <c r="L161" s="209">
        <f>IF('信用保険料計算書（上限2000万）'!$M$15="",0,IF($B161&lt;'信用保険料計算書（上限2000万）'!$M$15,0,IF($B161&gt;'信用保険料計算書（上限2000万）'!$M$16,0,1)))</f>
        <v>0</v>
      </c>
      <c r="M161" s="209">
        <f>IF(L161=1,HLOOKUP(C161,'計算書（第5回）'!$C$123:$U$124,2,TRUE),0)</f>
        <v>0</v>
      </c>
      <c r="N161" s="209">
        <f>IF('信用保険料計算書（上限2000万）'!$O$15="",0,IF($B161&lt;'信用保険料計算書（上限2000万）'!$O$15,0,IF($B161&gt;'信用保険料計算書（上限2000万）'!$O$16,0,1)))</f>
        <v>0</v>
      </c>
      <c r="O161" s="209">
        <f>IF(N161=1,HLOOKUP(C161,'計算書（第6回）'!$C$123:$U$124,2,TRUE),0)</f>
        <v>0</v>
      </c>
      <c r="P161" s="209">
        <f>IF('信用保険料計算書（上限2000万）'!$Q$15="",0,IF($B161&lt;'信用保険料計算書（上限2000万）'!$Q$15,0,IF($B161&gt;'信用保険料計算書（上限2000万）'!$Q$16,0,1)))</f>
        <v>0</v>
      </c>
      <c r="Q161" s="209">
        <f>IF(P161=1,HLOOKUP(C161,'計算書（第7回）'!$C$123:$U$124,2,TRUE),0)</f>
        <v>0</v>
      </c>
      <c r="R161" s="212"/>
      <c r="S161" s="211">
        <f>COUNTIF($AB$13:$AB$19,"&lt;=2024/6/1")</f>
        <v>2</v>
      </c>
      <c r="T161" s="178">
        <f t="shared" si="17"/>
        <v>44743</v>
      </c>
      <c r="U161" s="181">
        <f t="shared" si="14"/>
        <v>16774993</v>
      </c>
      <c r="V161" s="182">
        <f t="shared" si="12"/>
        <v>16774993</v>
      </c>
      <c r="W161" s="245">
        <f t="shared" si="18"/>
        <v>6709.99</v>
      </c>
      <c r="X161" s="182"/>
    </row>
    <row r="162" spans="2:24">
      <c r="B162" s="214">
        <f t="shared" si="16"/>
        <v>45474</v>
      </c>
      <c r="C162" s="198">
        <f t="shared" si="13"/>
        <v>45444</v>
      </c>
      <c r="D162" s="209">
        <f>IF(B162&lt;'信用保険料計算書（上限2000万）'!$E$15,0,IF(B162&gt;'信用保険料計算書（上限2000万）'!$E$16,0,1))</f>
        <v>1</v>
      </c>
      <c r="E162" s="209">
        <f>IF(D162=1,HLOOKUP(C162,'計算書（第1回）'!$C$123:$U$124,2,TRUE),0)</f>
        <v>275000</v>
      </c>
      <c r="F162" s="209">
        <f>IF('信用保険料計算書（上限2000万）'!$G$15="",0,IF($B162&lt;'信用保険料計算書（上限2000万）'!$G$15,0,IF($B162&gt;'信用保険料計算書（上限2000万）'!$G$16,0,1)))</f>
        <v>1</v>
      </c>
      <c r="G162" s="209">
        <f>IF(F162=1,HLOOKUP(C162,'計算書（第2回）'!$C$123:$U$124,2,TRUE),0)</f>
        <v>16499993</v>
      </c>
      <c r="H162" s="209">
        <f>IF('信用保険料計算書（上限2000万）'!$I$15="",0,IF($B162&lt;'信用保険料計算書（上限2000万）'!$I$15,0,IF($B162&gt;'信用保険料計算書（上限2000万）'!$I$16,0,1)))</f>
        <v>0</v>
      </c>
      <c r="I162" s="209">
        <f>IF(H162=1,HLOOKUP(C162,'計算書（第3回）'!$C$123:$U$124,2,TRUE),0)</f>
        <v>0</v>
      </c>
      <c r="J162" s="209">
        <f>IF('信用保険料計算書（上限2000万）'!$K$15="",0,IF($B162&lt;'信用保険料計算書（上限2000万）'!$K$15,0,IF($B162&gt;'信用保険料計算書（上限2000万）'!$K$16,0,1)))</f>
        <v>0</v>
      </c>
      <c r="K162" s="209">
        <f>IF(J162=1,HLOOKUP(C162,'計算書（第4回）'!$C$123:$U$124,2,TRUE),0)</f>
        <v>0</v>
      </c>
      <c r="L162" s="209">
        <f>IF('信用保険料計算書（上限2000万）'!$M$15="",0,IF($B162&lt;'信用保険料計算書（上限2000万）'!$M$15,0,IF($B162&gt;'信用保険料計算書（上限2000万）'!$M$16,0,1)))</f>
        <v>0</v>
      </c>
      <c r="M162" s="209">
        <f>IF(L162=1,HLOOKUP(C162,'計算書（第5回）'!$C$123:$U$124,2,TRUE),0)</f>
        <v>0</v>
      </c>
      <c r="N162" s="209">
        <f>IF('信用保険料計算書（上限2000万）'!$O$15="",0,IF($B162&lt;'信用保険料計算書（上限2000万）'!$O$15,0,IF($B162&gt;'信用保険料計算書（上限2000万）'!$O$16,0,1)))</f>
        <v>0</v>
      </c>
      <c r="O162" s="209">
        <f>IF(N162=1,HLOOKUP(C162,'計算書（第6回）'!$C$123:$U$124,2,TRUE),0)</f>
        <v>0</v>
      </c>
      <c r="P162" s="209">
        <f>IF('信用保険料計算書（上限2000万）'!$Q$15="",0,IF($B162&lt;'信用保険料計算書（上限2000万）'!$Q$15,0,IF($B162&gt;'信用保険料計算書（上限2000万）'!$Q$16,0,1)))</f>
        <v>0</v>
      </c>
      <c r="Q162" s="209">
        <f>IF(P162=1,HLOOKUP(C162,'計算書（第7回）'!$C$123:$U$124,2,TRUE),0)</f>
        <v>0</v>
      </c>
      <c r="R162" s="212"/>
      <c r="S162" s="211">
        <f>COUNTIF($AB$13:$AB$19,"&lt;=2024/7/1")</f>
        <v>2</v>
      </c>
      <c r="T162" s="178">
        <f t="shared" si="17"/>
        <v>44743</v>
      </c>
      <c r="U162" s="181">
        <f t="shared" si="14"/>
        <v>16774993</v>
      </c>
      <c r="V162" s="182">
        <f t="shared" si="12"/>
        <v>16774993</v>
      </c>
      <c r="W162" s="245">
        <f t="shared" si="18"/>
        <v>6709.99</v>
      </c>
      <c r="X162" s="182"/>
    </row>
    <row r="163" spans="2:24">
      <c r="B163" s="214">
        <f t="shared" si="16"/>
        <v>45505</v>
      </c>
      <c r="C163" s="198">
        <f t="shared" si="13"/>
        <v>45474</v>
      </c>
      <c r="D163" s="209">
        <f>IF(B163&lt;'信用保険料計算書（上限2000万）'!$E$15,0,IF(B163&gt;'信用保険料計算書（上限2000万）'!$E$16,0,1))</f>
        <v>1</v>
      </c>
      <c r="E163" s="209">
        <f>IF(D163=1,HLOOKUP(C163,'計算書（第1回）'!$C$123:$U$124,2,TRUE),0)</f>
        <v>275000</v>
      </c>
      <c r="F163" s="209">
        <f>IF('信用保険料計算書（上限2000万）'!$G$15="",0,IF($B163&lt;'信用保険料計算書（上限2000万）'!$G$15,0,IF($B163&gt;'信用保険料計算書（上限2000万）'!$G$16,0,1)))</f>
        <v>1</v>
      </c>
      <c r="G163" s="209">
        <f>IF(F163=1,HLOOKUP(C163,'計算書（第2回）'!$C$123:$U$124,2,TRUE),0)</f>
        <v>16499993</v>
      </c>
      <c r="H163" s="209">
        <f>IF('信用保険料計算書（上限2000万）'!$I$15="",0,IF($B163&lt;'信用保険料計算書（上限2000万）'!$I$15,0,IF($B163&gt;'信用保険料計算書（上限2000万）'!$I$16,0,1)))</f>
        <v>0</v>
      </c>
      <c r="I163" s="209">
        <f>IF(H163=1,HLOOKUP(C163,'計算書（第3回）'!$C$123:$U$124,2,TRUE),0)</f>
        <v>0</v>
      </c>
      <c r="J163" s="209">
        <f>IF('信用保険料計算書（上限2000万）'!$K$15="",0,IF($B163&lt;'信用保険料計算書（上限2000万）'!$K$15,0,IF($B163&gt;'信用保険料計算書（上限2000万）'!$K$16,0,1)))</f>
        <v>0</v>
      </c>
      <c r="K163" s="209">
        <f>IF(J163=1,HLOOKUP(C163,'計算書（第4回）'!$C$123:$U$124,2,TRUE),0)</f>
        <v>0</v>
      </c>
      <c r="L163" s="209">
        <f>IF('信用保険料計算書（上限2000万）'!$M$15="",0,IF($B163&lt;'信用保険料計算書（上限2000万）'!$M$15,0,IF($B163&gt;'信用保険料計算書（上限2000万）'!$M$16,0,1)))</f>
        <v>0</v>
      </c>
      <c r="M163" s="209">
        <f>IF(L163=1,HLOOKUP(C163,'計算書（第5回）'!$C$123:$U$124,2,TRUE),0)</f>
        <v>0</v>
      </c>
      <c r="N163" s="209">
        <f>IF('信用保険料計算書（上限2000万）'!$O$15="",0,IF($B163&lt;'信用保険料計算書（上限2000万）'!$O$15,0,IF($B163&gt;'信用保険料計算書（上限2000万）'!$O$16,0,1)))</f>
        <v>0</v>
      </c>
      <c r="O163" s="209">
        <f>IF(N163=1,HLOOKUP(C163,'計算書（第6回）'!$C$123:$U$124,2,TRUE),0)</f>
        <v>0</v>
      </c>
      <c r="P163" s="209">
        <f>IF('信用保険料計算書（上限2000万）'!$Q$15="",0,IF($B163&lt;'信用保険料計算書（上限2000万）'!$Q$15,0,IF($B163&gt;'信用保険料計算書（上限2000万）'!$Q$16,0,1)))</f>
        <v>0</v>
      </c>
      <c r="Q163" s="209">
        <f>IF(P163=1,HLOOKUP(C163,'計算書（第7回）'!$C$123:$U$124,2,TRUE),0)</f>
        <v>0</v>
      </c>
      <c r="R163" s="212"/>
      <c r="S163" s="211">
        <f>COUNTIF($AB$13:$AB$19,"&lt;=2024/8/1")</f>
        <v>2</v>
      </c>
      <c r="T163" s="178">
        <f t="shared" si="17"/>
        <v>44743</v>
      </c>
      <c r="U163" s="181">
        <f t="shared" si="14"/>
        <v>16774993</v>
      </c>
      <c r="V163" s="182">
        <f t="shared" si="12"/>
        <v>16774993</v>
      </c>
      <c r="W163" s="245">
        <f t="shared" si="18"/>
        <v>6709.99</v>
      </c>
      <c r="X163" s="182"/>
    </row>
    <row r="164" spans="2:24">
      <c r="B164" s="214">
        <f t="shared" si="16"/>
        <v>45536</v>
      </c>
      <c r="C164" s="198">
        <f t="shared" si="13"/>
        <v>45505</v>
      </c>
      <c r="D164" s="209">
        <f>IF(B164&lt;'信用保険料計算書（上限2000万）'!$E$15,0,IF(B164&gt;'信用保険料計算書（上限2000万）'!$E$16,0,1))</f>
        <v>1</v>
      </c>
      <c r="E164" s="209">
        <f>IF(D164=1,HLOOKUP(C164,'計算書（第1回）'!$C$123:$U$124,2,TRUE),0)</f>
        <v>275000</v>
      </c>
      <c r="F164" s="209">
        <f>IF('信用保険料計算書（上限2000万）'!$G$15="",0,IF($B164&lt;'信用保険料計算書（上限2000万）'!$G$15,0,IF($B164&gt;'信用保険料計算書（上限2000万）'!$G$16,0,1)))</f>
        <v>1</v>
      </c>
      <c r="G164" s="209">
        <f>IF(F164=1,HLOOKUP(C164,'計算書（第2回）'!$C$123:$U$124,2,TRUE),0)</f>
        <v>16499993</v>
      </c>
      <c r="H164" s="209">
        <f>IF('信用保険料計算書（上限2000万）'!$I$15="",0,IF($B164&lt;'信用保険料計算書（上限2000万）'!$I$15,0,IF($B164&gt;'信用保険料計算書（上限2000万）'!$I$16,0,1)))</f>
        <v>0</v>
      </c>
      <c r="I164" s="209">
        <f>IF(H164=1,HLOOKUP(C164,'計算書（第3回）'!$C$123:$U$124,2,TRUE),0)</f>
        <v>0</v>
      </c>
      <c r="J164" s="209">
        <f>IF('信用保険料計算書（上限2000万）'!$K$15="",0,IF($B164&lt;'信用保険料計算書（上限2000万）'!$K$15,0,IF($B164&gt;'信用保険料計算書（上限2000万）'!$K$16,0,1)))</f>
        <v>0</v>
      </c>
      <c r="K164" s="209">
        <f>IF(J164=1,HLOOKUP(C164,'計算書（第4回）'!$C$123:$U$124,2,TRUE),0)</f>
        <v>0</v>
      </c>
      <c r="L164" s="209">
        <f>IF('信用保険料計算書（上限2000万）'!$M$15="",0,IF($B164&lt;'信用保険料計算書（上限2000万）'!$M$15,0,IF($B164&gt;'信用保険料計算書（上限2000万）'!$M$16,0,1)))</f>
        <v>0</v>
      </c>
      <c r="M164" s="209">
        <f>IF(L164=1,HLOOKUP(C164,'計算書（第5回）'!$C$123:$U$124,2,TRUE),0)</f>
        <v>0</v>
      </c>
      <c r="N164" s="209">
        <f>IF('信用保険料計算書（上限2000万）'!$O$15="",0,IF($B164&lt;'信用保険料計算書（上限2000万）'!$O$15,0,IF($B164&gt;'信用保険料計算書（上限2000万）'!$O$16,0,1)))</f>
        <v>0</v>
      </c>
      <c r="O164" s="209">
        <f>IF(N164=1,HLOOKUP(C164,'計算書（第6回）'!$C$123:$U$124,2,TRUE),0)</f>
        <v>0</v>
      </c>
      <c r="P164" s="209">
        <f>IF('信用保険料計算書（上限2000万）'!$Q$15="",0,IF($B164&lt;'信用保険料計算書（上限2000万）'!$Q$15,0,IF($B164&gt;'信用保険料計算書（上限2000万）'!$Q$16,0,1)))</f>
        <v>0</v>
      </c>
      <c r="Q164" s="209">
        <f>IF(P164=1,HLOOKUP(C164,'計算書（第7回）'!$C$123:$U$124,2,TRUE),0)</f>
        <v>0</v>
      </c>
      <c r="R164" s="212"/>
      <c r="S164" s="211">
        <f>COUNTIF($AB$13:$AB$19,"&lt;=2024/9/1")</f>
        <v>2</v>
      </c>
      <c r="T164" s="178">
        <f t="shared" si="17"/>
        <v>44743</v>
      </c>
      <c r="U164" s="181">
        <f t="shared" si="14"/>
        <v>16774993</v>
      </c>
      <c r="V164" s="182">
        <f t="shared" si="12"/>
        <v>16774993</v>
      </c>
      <c r="W164" s="245">
        <f t="shared" si="18"/>
        <v>6709.99</v>
      </c>
      <c r="X164" s="183">
        <f>INT(SUM(W159:W164))</f>
        <v>40259</v>
      </c>
    </row>
    <row r="165" spans="2:24">
      <c r="B165" s="214">
        <f t="shared" si="16"/>
        <v>45566</v>
      </c>
      <c r="C165" s="198">
        <f t="shared" si="13"/>
        <v>45536</v>
      </c>
      <c r="D165" s="209">
        <f>IF(B165&lt;'信用保険料計算書（上限2000万）'!$E$15,0,IF(B165&gt;'信用保険料計算書（上限2000万）'!$E$16,0,1))</f>
        <v>1</v>
      </c>
      <c r="E165" s="209">
        <f>IF(D165=1,HLOOKUP(C165,'計算書（第1回）'!$C$123:$U$124,2,TRUE),0)</f>
        <v>206250</v>
      </c>
      <c r="F165" s="209">
        <f>IF('信用保険料計算書（上限2000万）'!$G$15="",0,IF($B165&lt;'信用保険料計算書（上限2000万）'!$G$15,0,IF($B165&gt;'信用保険料計算書（上限2000万）'!$G$16,0,1)))</f>
        <v>1</v>
      </c>
      <c r="G165" s="209">
        <f>IF(F165=1,HLOOKUP(C165,'計算書（第2回）'!$C$123:$U$124,2,TRUE),0)</f>
        <v>14928565</v>
      </c>
      <c r="H165" s="209">
        <f>IF('信用保険料計算書（上限2000万）'!$I$15="",0,IF($B165&lt;'信用保険料計算書（上限2000万）'!$I$15,0,IF($B165&gt;'信用保険料計算書（上限2000万）'!$I$16,0,1)))</f>
        <v>0</v>
      </c>
      <c r="I165" s="209">
        <f>IF(H165=1,HLOOKUP(C165,'計算書（第3回）'!$C$123:$U$124,2,TRUE),0)</f>
        <v>0</v>
      </c>
      <c r="J165" s="209">
        <f>IF('信用保険料計算書（上限2000万）'!$K$15="",0,IF($B165&lt;'信用保険料計算書（上限2000万）'!$K$15,0,IF($B165&gt;'信用保険料計算書（上限2000万）'!$K$16,0,1)))</f>
        <v>0</v>
      </c>
      <c r="K165" s="209">
        <f>IF(J165=1,HLOOKUP(C165,'計算書（第4回）'!$C$123:$U$124,2,TRUE),0)</f>
        <v>0</v>
      </c>
      <c r="L165" s="209">
        <f>IF('信用保険料計算書（上限2000万）'!$M$15="",0,IF($B165&lt;'信用保険料計算書（上限2000万）'!$M$15,0,IF($B165&gt;'信用保険料計算書（上限2000万）'!$M$16,0,1)))</f>
        <v>0</v>
      </c>
      <c r="M165" s="209">
        <f>IF(L165=1,HLOOKUP(C165,'計算書（第5回）'!$C$123:$U$124,2,TRUE),0)</f>
        <v>0</v>
      </c>
      <c r="N165" s="209">
        <f>IF('信用保険料計算書（上限2000万）'!$O$15="",0,IF($B165&lt;'信用保険料計算書（上限2000万）'!$O$15,0,IF($B165&gt;'信用保険料計算書（上限2000万）'!$O$16,0,1)))</f>
        <v>0</v>
      </c>
      <c r="O165" s="209">
        <f>IF(N165=1,HLOOKUP(C165,'計算書（第6回）'!$C$123:$U$124,2,TRUE),0)</f>
        <v>0</v>
      </c>
      <c r="P165" s="209">
        <f>IF('信用保険料計算書（上限2000万）'!$Q$15="",0,IF($B165&lt;'信用保険料計算書（上限2000万）'!$Q$15,0,IF($B165&gt;'信用保険料計算書（上限2000万）'!$Q$16,0,1)))</f>
        <v>0</v>
      </c>
      <c r="Q165" s="209">
        <f>IF(P165=1,HLOOKUP(C165,'計算書（第7回）'!$C$123:$U$124,2,TRUE),0)</f>
        <v>0</v>
      </c>
      <c r="R165" s="212"/>
      <c r="S165" s="211">
        <f>COUNTIF($AB$13:$AB$19,"&lt;=2024/10/1")</f>
        <v>2</v>
      </c>
      <c r="T165" s="178">
        <f t="shared" si="17"/>
        <v>44743</v>
      </c>
      <c r="U165" s="181">
        <f t="shared" si="14"/>
        <v>15134815</v>
      </c>
      <c r="V165" s="182">
        <f t="shared" si="12"/>
        <v>15134815</v>
      </c>
      <c r="W165" s="245">
        <f t="shared" si="18"/>
        <v>6053.92</v>
      </c>
      <c r="X165" s="182"/>
    </row>
    <row r="166" spans="2:24">
      <c r="B166" s="214">
        <f t="shared" si="16"/>
        <v>45597</v>
      </c>
      <c r="C166" s="198">
        <f t="shared" si="13"/>
        <v>45566</v>
      </c>
      <c r="D166" s="209">
        <f>IF(B166&lt;'信用保険料計算書（上限2000万）'!$E$15,0,IF(B166&gt;'信用保険料計算書（上限2000万）'!$E$16,0,1))</f>
        <v>1</v>
      </c>
      <c r="E166" s="209">
        <f>IF(D166=1,HLOOKUP(C166,'計算書（第1回）'!$C$123:$U$124,2,TRUE),0)</f>
        <v>206250</v>
      </c>
      <c r="F166" s="209">
        <f>IF('信用保険料計算書（上限2000万）'!$G$15="",0,IF($B166&lt;'信用保険料計算書（上限2000万）'!$G$15,0,IF($B166&gt;'信用保険料計算書（上限2000万）'!$G$16,0,1)))</f>
        <v>1</v>
      </c>
      <c r="G166" s="209">
        <f>IF(F166=1,HLOOKUP(C166,'計算書（第2回）'!$C$123:$U$124,2,TRUE),0)</f>
        <v>14928565</v>
      </c>
      <c r="H166" s="209">
        <f>IF('信用保険料計算書（上限2000万）'!$I$15="",0,IF($B166&lt;'信用保険料計算書（上限2000万）'!$I$15,0,IF($B166&gt;'信用保険料計算書（上限2000万）'!$I$16,0,1)))</f>
        <v>0</v>
      </c>
      <c r="I166" s="209">
        <f>IF(H166=1,HLOOKUP(C166,'計算書（第3回）'!$C$123:$U$124,2,TRUE),0)</f>
        <v>0</v>
      </c>
      <c r="J166" s="209">
        <f>IF('信用保険料計算書（上限2000万）'!$K$15="",0,IF($B166&lt;'信用保険料計算書（上限2000万）'!$K$15,0,IF($B166&gt;'信用保険料計算書（上限2000万）'!$K$16,0,1)))</f>
        <v>0</v>
      </c>
      <c r="K166" s="209">
        <f>IF(J166=1,HLOOKUP(C166,'計算書（第4回）'!$C$123:$U$124,2,TRUE),0)</f>
        <v>0</v>
      </c>
      <c r="L166" s="209">
        <f>IF('信用保険料計算書（上限2000万）'!$M$15="",0,IF($B166&lt;'信用保険料計算書（上限2000万）'!$M$15,0,IF($B166&gt;'信用保険料計算書（上限2000万）'!$M$16,0,1)))</f>
        <v>0</v>
      </c>
      <c r="M166" s="209">
        <f>IF(L166=1,HLOOKUP(C166,'計算書（第5回）'!$C$123:$U$124,2,TRUE),0)</f>
        <v>0</v>
      </c>
      <c r="N166" s="209">
        <f>IF('信用保険料計算書（上限2000万）'!$O$15="",0,IF($B166&lt;'信用保険料計算書（上限2000万）'!$O$15,0,IF($B166&gt;'信用保険料計算書（上限2000万）'!$O$16,0,1)))</f>
        <v>0</v>
      </c>
      <c r="O166" s="209">
        <f>IF(N166=1,HLOOKUP(C166,'計算書（第6回）'!$C$123:$U$124,2,TRUE),0)</f>
        <v>0</v>
      </c>
      <c r="P166" s="209">
        <f>IF('信用保険料計算書（上限2000万）'!$Q$15="",0,IF($B166&lt;'信用保険料計算書（上限2000万）'!$Q$15,0,IF($B166&gt;'信用保険料計算書（上限2000万）'!$Q$16,0,1)))</f>
        <v>0</v>
      </c>
      <c r="Q166" s="209">
        <f>IF(P166=1,HLOOKUP(C166,'計算書（第7回）'!$C$123:$U$124,2,TRUE),0)</f>
        <v>0</v>
      </c>
      <c r="R166" s="212"/>
      <c r="S166" s="211">
        <f>COUNTIF($AB$13:$AB$19,"&lt;=2024/11/1")</f>
        <v>2</v>
      </c>
      <c r="T166" s="178">
        <f t="shared" si="17"/>
        <v>44743</v>
      </c>
      <c r="U166" s="181">
        <f t="shared" si="14"/>
        <v>15134815</v>
      </c>
      <c r="V166" s="182">
        <f t="shared" si="12"/>
        <v>15134815</v>
      </c>
      <c r="W166" s="245">
        <f t="shared" si="18"/>
        <v>6053.92</v>
      </c>
      <c r="X166" s="182"/>
    </row>
    <row r="167" spans="2:24">
      <c r="B167" s="214">
        <f t="shared" si="16"/>
        <v>45627</v>
      </c>
      <c r="C167" s="198">
        <f t="shared" si="13"/>
        <v>45597</v>
      </c>
      <c r="D167" s="209">
        <f>IF(B167&lt;'信用保険料計算書（上限2000万）'!$E$15,0,IF(B167&gt;'信用保険料計算書（上限2000万）'!$E$16,0,1))</f>
        <v>1</v>
      </c>
      <c r="E167" s="209">
        <f>IF(D167=1,HLOOKUP(C167,'計算書（第1回）'!$C$123:$U$124,2,TRUE),0)</f>
        <v>206250</v>
      </c>
      <c r="F167" s="209">
        <f>IF('信用保険料計算書（上限2000万）'!$G$15="",0,IF($B167&lt;'信用保険料計算書（上限2000万）'!$G$15,0,IF($B167&gt;'信用保険料計算書（上限2000万）'!$G$16,0,1)))</f>
        <v>1</v>
      </c>
      <c r="G167" s="209">
        <f>IF(F167=1,HLOOKUP(C167,'計算書（第2回）'!$C$123:$U$124,2,TRUE),0)</f>
        <v>14928565</v>
      </c>
      <c r="H167" s="209">
        <f>IF('信用保険料計算書（上限2000万）'!$I$15="",0,IF($B167&lt;'信用保険料計算書（上限2000万）'!$I$15,0,IF($B167&gt;'信用保険料計算書（上限2000万）'!$I$16,0,1)))</f>
        <v>0</v>
      </c>
      <c r="I167" s="209">
        <f>IF(H167=1,HLOOKUP(C167,'計算書（第3回）'!$C$123:$U$124,2,TRUE),0)</f>
        <v>0</v>
      </c>
      <c r="J167" s="209">
        <f>IF('信用保険料計算書（上限2000万）'!$K$15="",0,IF($B167&lt;'信用保険料計算書（上限2000万）'!$K$15,0,IF($B167&gt;'信用保険料計算書（上限2000万）'!$K$16,0,1)))</f>
        <v>0</v>
      </c>
      <c r="K167" s="209">
        <f>IF(J167=1,HLOOKUP(C167,'計算書（第4回）'!$C$123:$U$124,2,TRUE),0)</f>
        <v>0</v>
      </c>
      <c r="L167" s="209">
        <f>IF('信用保険料計算書（上限2000万）'!$M$15="",0,IF($B167&lt;'信用保険料計算書（上限2000万）'!$M$15,0,IF($B167&gt;'信用保険料計算書（上限2000万）'!$M$16,0,1)))</f>
        <v>0</v>
      </c>
      <c r="M167" s="209">
        <f>IF(L167=1,HLOOKUP(C167,'計算書（第5回）'!$C$123:$U$124,2,TRUE),0)</f>
        <v>0</v>
      </c>
      <c r="N167" s="209">
        <f>IF('信用保険料計算書（上限2000万）'!$O$15="",0,IF($B167&lt;'信用保険料計算書（上限2000万）'!$O$15,0,IF($B167&gt;'信用保険料計算書（上限2000万）'!$O$16,0,1)))</f>
        <v>0</v>
      </c>
      <c r="O167" s="209">
        <f>IF(N167=1,HLOOKUP(C167,'計算書（第6回）'!$C$123:$U$124,2,TRUE),0)</f>
        <v>0</v>
      </c>
      <c r="P167" s="209">
        <f>IF('信用保険料計算書（上限2000万）'!$Q$15="",0,IF($B167&lt;'信用保険料計算書（上限2000万）'!$Q$15,0,IF($B167&gt;'信用保険料計算書（上限2000万）'!$Q$16,0,1)))</f>
        <v>0</v>
      </c>
      <c r="Q167" s="209">
        <f>IF(P167=1,HLOOKUP(C167,'計算書（第7回）'!$C$123:$U$124,2,TRUE),0)</f>
        <v>0</v>
      </c>
      <c r="R167" s="212"/>
      <c r="S167" s="211">
        <f>COUNTIF($AB$13:$AB$19,"&lt;=2024/12/1")</f>
        <v>2</v>
      </c>
      <c r="T167" s="178">
        <f t="shared" si="17"/>
        <v>44743</v>
      </c>
      <c r="U167" s="181">
        <f t="shared" si="14"/>
        <v>15134815</v>
      </c>
      <c r="V167" s="182">
        <f t="shared" ref="V167:V230" si="19">IF(U167=0,0,IF(U167&gt;VLOOKUP(T167,$AA$5:$AB$8,2,TRUE),VLOOKUP(T167,$AA$5:$AB$8,2,TRUE),U167))</f>
        <v>15134815</v>
      </c>
      <c r="W167" s="245">
        <f t="shared" si="18"/>
        <v>6053.92</v>
      </c>
      <c r="X167" s="182"/>
    </row>
    <row r="168" spans="2:24">
      <c r="B168" s="214">
        <f t="shared" si="16"/>
        <v>45658</v>
      </c>
      <c r="C168" s="198">
        <f t="shared" si="13"/>
        <v>45627</v>
      </c>
      <c r="D168" s="209">
        <f>IF(B168&lt;'信用保険料計算書（上限2000万）'!$E$15,0,IF(B168&gt;'信用保険料計算書（上限2000万）'!$E$16,0,1))</f>
        <v>1</v>
      </c>
      <c r="E168" s="209">
        <f>IF(D168=1,HLOOKUP(C168,'計算書（第1回）'!$C$123:$U$124,2,TRUE),0)</f>
        <v>206250</v>
      </c>
      <c r="F168" s="209">
        <f>IF('信用保険料計算書（上限2000万）'!$G$15="",0,IF($B168&lt;'信用保険料計算書（上限2000万）'!$G$15,0,IF($B168&gt;'信用保険料計算書（上限2000万）'!$G$16,0,1)))</f>
        <v>1</v>
      </c>
      <c r="G168" s="209">
        <f>IF(F168=1,HLOOKUP(C168,'計算書（第2回）'!$C$123:$U$124,2,TRUE),0)</f>
        <v>14928565</v>
      </c>
      <c r="H168" s="209">
        <f>IF('信用保険料計算書（上限2000万）'!$I$15="",0,IF($B168&lt;'信用保険料計算書（上限2000万）'!$I$15,0,IF($B168&gt;'信用保険料計算書（上限2000万）'!$I$16,0,1)))</f>
        <v>0</v>
      </c>
      <c r="I168" s="209">
        <f>IF(H168=1,HLOOKUP(C168,'計算書（第3回）'!$C$123:$U$124,2,TRUE),0)</f>
        <v>0</v>
      </c>
      <c r="J168" s="209">
        <f>IF('信用保険料計算書（上限2000万）'!$K$15="",0,IF($B168&lt;'信用保険料計算書（上限2000万）'!$K$15,0,IF($B168&gt;'信用保険料計算書（上限2000万）'!$K$16,0,1)))</f>
        <v>0</v>
      </c>
      <c r="K168" s="209">
        <f>IF(J168=1,HLOOKUP(C168,'計算書（第4回）'!$C$123:$U$124,2,TRUE),0)</f>
        <v>0</v>
      </c>
      <c r="L168" s="209">
        <f>IF('信用保険料計算書（上限2000万）'!$M$15="",0,IF($B168&lt;'信用保険料計算書（上限2000万）'!$M$15,0,IF($B168&gt;'信用保険料計算書（上限2000万）'!$M$16,0,1)))</f>
        <v>0</v>
      </c>
      <c r="M168" s="209">
        <f>IF(L168=1,HLOOKUP(C168,'計算書（第5回）'!$C$123:$U$124,2,TRUE),0)</f>
        <v>0</v>
      </c>
      <c r="N168" s="209">
        <f>IF('信用保険料計算書（上限2000万）'!$O$15="",0,IF($B168&lt;'信用保険料計算書（上限2000万）'!$O$15,0,IF($B168&gt;'信用保険料計算書（上限2000万）'!$O$16,0,1)))</f>
        <v>0</v>
      </c>
      <c r="O168" s="209">
        <f>IF(N168=1,HLOOKUP(C168,'計算書（第6回）'!$C$123:$U$124,2,TRUE),0)</f>
        <v>0</v>
      </c>
      <c r="P168" s="209">
        <f>IF('信用保険料計算書（上限2000万）'!$Q$15="",0,IF($B168&lt;'信用保険料計算書（上限2000万）'!$Q$15,0,IF($B168&gt;'信用保険料計算書（上限2000万）'!$Q$16,0,1)))</f>
        <v>0</v>
      </c>
      <c r="Q168" s="209">
        <f>IF(P168=1,HLOOKUP(C168,'計算書（第7回）'!$C$123:$U$124,2,TRUE),0)</f>
        <v>0</v>
      </c>
      <c r="R168" s="213"/>
      <c r="S168" s="211">
        <f>COUNTIF($AB$13:$AB$19,"&lt;=2025/1/1")</f>
        <v>2</v>
      </c>
      <c r="T168" s="178">
        <f t="shared" si="17"/>
        <v>44743</v>
      </c>
      <c r="U168" s="181">
        <f t="shared" si="14"/>
        <v>15134815</v>
      </c>
      <c r="V168" s="182">
        <f t="shared" si="19"/>
        <v>15134815</v>
      </c>
      <c r="W168" s="245">
        <f t="shared" si="18"/>
        <v>6053.92</v>
      </c>
      <c r="X168" s="182"/>
    </row>
    <row r="169" spans="2:24">
      <c r="B169" s="214">
        <f t="shared" si="16"/>
        <v>45689</v>
      </c>
      <c r="C169" s="198">
        <f t="shared" si="13"/>
        <v>45658</v>
      </c>
      <c r="D169" s="209">
        <f>IF(B169&lt;'信用保険料計算書（上限2000万）'!$E$15,0,IF(B169&gt;'信用保険料計算書（上限2000万）'!$E$16,0,1))</f>
        <v>1</v>
      </c>
      <c r="E169" s="209">
        <f>IF(D169=1,HLOOKUP(C169,'計算書（第1回）'!$C$123:$U$124,2,TRUE),0)</f>
        <v>206250</v>
      </c>
      <c r="F169" s="209">
        <f>IF('信用保険料計算書（上限2000万）'!$G$15="",0,IF($B169&lt;'信用保険料計算書（上限2000万）'!$G$15,0,IF($B169&gt;'信用保険料計算書（上限2000万）'!$G$16,0,1)))</f>
        <v>1</v>
      </c>
      <c r="G169" s="209">
        <f>IF(F169=1,HLOOKUP(C169,'計算書（第2回）'!$C$123:$U$124,2,TRUE),0)</f>
        <v>14928565</v>
      </c>
      <c r="H169" s="209">
        <f>IF('信用保険料計算書（上限2000万）'!$I$15="",0,IF($B169&lt;'信用保険料計算書（上限2000万）'!$I$15,0,IF($B169&gt;'信用保険料計算書（上限2000万）'!$I$16,0,1)))</f>
        <v>0</v>
      </c>
      <c r="I169" s="209">
        <f>IF(H169=1,HLOOKUP(C169,'計算書（第3回）'!$C$123:$U$124,2,TRUE),0)</f>
        <v>0</v>
      </c>
      <c r="J169" s="209">
        <f>IF('信用保険料計算書（上限2000万）'!$K$15="",0,IF($B169&lt;'信用保険料計算書（上限2000万）'!$K$15,0,IF($B169&gt;'信用保険料計算書（上限2000万）'!$K$16,0,1)))</f>
        <v>0</v>
      </c>
      <c r="K169" s="209">
        <f>IF(J169=1,HLOOKUP(C169,'計算書（第4回）'!$C$123:$U$124,2,TRUE),0)</f>
        <v>0</v>
      </c>
      <c r="L169" s="209">
        <f>IF('信用保険料計算書（上限2000万）'!$M$15="",0,IF($B169&lt;'信用保険料計算書（上限2000万）'!$M$15,0,IF($B169&gt;'信用保険料計算書（上限2000万）'!$M$16,0,1)))</f>
        <v>0</v>
      </c>
      <c r="M169" s="209">
        <f>IF(L169=1,HLOOKUP(C169,'計算書（第5回）'!$C$123:$U$124,2,TRUE),0)</f>
        <v>0</v>
      </c>
      <c r="N169" s="209">
        <f>IF('信用保険料計算書（上限2000万）'!$O$15="",0,IF($B169&lt;'信用保険料計算書（上限2000万）'!$O$15,0,IF($B169&gt;'信用保険料計算書（上限2000万）'!$O$16,0,1)))</f>
        <v>0</v>
      </c>
      <c r="O169" s="209">
        <f>IF(N169=1,HLOOKUP(C169,'計算書（第6回）'!$C$123:$U$124,2,TRUE),0)</f>
        <v>0</v>
      </c>
      <c r="P169" s="209">
        <f>IF('信用保険料計算書（上限2000万）'!$Q$15="",0,IF($B169&lt;'信用保険料計算書（上限2000万）'!$Q$15,0,IF($B169&gt;'信用保険料計算書（上限2000万）'!$Q$16,0,1)))</f>
        <v>0</v>
      </c>
      <c r="Q169" s="209">
        <f>IF(P169=1,HLOOKUP(C169,'計算書（第7回）'!$C$123:$U$124,2,TRUE),0)</f>
        <v>0</v>
      </c>
      <c r="R169" s="213"/>
      <c r="S169" s="211">
        <f>COUNTIF($AB$13:$AB$19,"&lt;=2025/2/1")</f>
        <v>2</v>
      </c>
      <c r="T169" s="178">
        <f t="shared" si="17"/>
        <v>44743</v>
      </c>
      <c r="U169" s="181">
        <f t="shared" si="14"/>
        <v>15134815</v>
      </c>
      <c r="V169" s="182">
        <f t="shared" si="19"/>
        <v>15134815</v>
      </c>
      <c r="W169" s="245">
        <f t="shared" si="18"/>
        <v>6053.92</v>
      </c>
      <c r="X169" s="182"/>
    </row>
    <row r="170" spans="2:24">
      <c r="B170" s="214">
        <f t="shared" si="16"/>
        <v>45717</v>
      </c>
      <c r="C170" s="198">
        <f t="shared" si="13"/>
        <v>45689</v>
      </c>
      <c r="D170" s="209">
        <f>IF(B170&lt;'信用保険料計算書（上限2000万）'!$E$15,0,IF(B170&gt;'信用保険料計算書（上限2000万）'!$E$16,0,1))</f>
        <v>1</v>
      </c>
      <c r="E170" s="209">
        <f>IF(D170=1,HLOOKUP(C170,'計算書（第1回）'!$C$123:$U$124,2,TRUE),0)</f>
        <v>206250</v>
      </c>
      <c r="F170" s="209">
        <f>IF('信用保険料計算書（上限2000万）'!$G$15="",0,IF($B170&lt;'信用保険料計算書（上限2000万）'!$G$15,0,IF($B170&gt;'信用保険料計算書（上限2000万）'!$G$16,0,1)))</f>
        <v>1</v>
      </c>
      <c r="G170" s="209">
        <f>IF(F170=1,HLOOKUP(C170,'計算書（第2回）'!$C$123:$U$124,2,TRUE),0)</f>
        <v>14928565</v>
      </c>
      <c r="H170" s="209">
        <f>IF('信用保険料計算書（上限2000万）'!$I$15="",0,IF($B170&lt;'信用保険料計算書（上限2000万）'!$I$15,0,IF($B170&gt;'信用保険料計算書（上限2000万）'!$I$16,0,1)))</f>
        <v>0</v>
      </c>
      <c r="I170" s="209">
        <f>IF(H170=1,HLOOKUP(C170,'計算書（第3回）'!$C$123:$U$124,2,TRUE),0)</f>
        <v>0</v>
      </c>
      <c r="J170" s="209">
        <f>IF('信用保険料計算書（上限2000万）'!$K$15="",0,IF($B170&lt;'信用保険料計算書（上限2000万）'!$K$15,0,IF($B170&gt;'信用保険料計算書（上限2000万）'!$K$16,0,1)))</f>
        <v>0</v>
      </c>
      <c r="K170" s="209">
        <f>IF(J170=1,HLOOKUP(C170,'計算書（第4回）'!$C$123:$U$124,2,TRUE),0)</f>
        <v>0</v>
      </c>
      <c r="L170" s="209">
        <f>IF('信用保険料計算書（上限2000万）'!$M$15="",0,IF($B170&lt;'信用保険料計算書（上限2000万）'!$M$15,0,IF($B170&gt;'信用保険料計算書（上限2000万）'!$M$16,0,1)))</f>
        <v>0</v>
      </c>
      <c r="M170" s="209">
        <f>IF(L170=1,HLOOKUP(C170,'計算書（第5回）'!$C$123:$U$124,2,TRUE),0)</f>
        <v>0</v>
      </c>
      <c r="N170" s="209">
        <f>IF('信用保険料計算書（上限2000万）'!$O$15="",0,IF($B170&lt;'信用保険料計算書（上限2000万）'!$O$15,0,IF($B170&gt;'信用保険料計算書（上限2000万）'!$O$16,0,1)))</f>
        <v>0</v>
      </c>
      <c r="O170" s="209">
        <f>IF(N170=1,HLOOKUP(C170,'計算書（第6回）'!$C$123:$U$124,2,TRUE),0)</f>
        <v>0</v>
      </c>
      <c r="P170" s="209">
        <f>IF('信用保険料計算書（上限2000万）'!$Q$15="",0,IF($B170&lt;'信用保険料計算書（上限2000万）'!$Q$15,0,IF($B170&gt;'信用保険料計算書（上限2000万）'!$Q$16,0,1)))</f>
        <v>0</v>
      </c>
      <c r="Q170" s="209">
        <f>IF(P170=1,HLOOKUP(C170,'計算書（第7回）'!$C$123:$U$124,2,TRUE),0)</f>
        <v>0</v>
      </c>
      <c r="R170" s="213"/>
      <c r="S170" s="211">
        <f>COUNTIF($AB$13:$AB$19,"&lt;=2025/3/1")</f>
        <v>2</v>
      </c>
      <c r="T170" s="178">
        <f t="shared" si="17"/>
        <v>44743</v>
      </c>
      <c r="U170" s="181">
        <f t="shared" si="14"/>
        <v>15134815</v>
      </c>
      <c r="V170" s="182">
        <f t="shared" si="19"/>
        <v>15134815</v>
      </c>
      <c r="W170" s="245">
        <f t="shared" si="18"/>
        <v>6053.92</v>
      </c>
      <c r="X170" s="183">
        <f>INT(SUM(W165:W170))</f>
        <v>36323</v>
      </c>
    </row>
    <row r="171" spans="2:24">
      <c r="B171" s="214">
        <f t="shared" si="16"/>
        <v>45748</v>
      </c>
      <c r="C171" s="198">
        <f t="shared" si="13"/>
        <v>45717</v>
      </c>
      <c r="D171" s="209">
        <f>IF(B171&lt;'信用保険料計算書（上限2000万）'!$E$15,0,IF(B171&gt;'信用保険料計算書（上限2000万）'!$E$16,0,1))</f>
        <v>1</v>
      </c>
      <c r="E171" s="209">
        <f>IF(D171=1,HLOOKUP(C171,'計算書（第1回）'!$C$123:$U$124,2,TRUE),0)</f>
        <v>137500</v>
      </c>
      <c r="F171" s="209">
        <f>IF('信用保険料計算書（上限2000万）'!$G$15="",0,IF($B171&lt;'信用保険料計算書（上限2000万）'!$G$15,0,IF($B171&gt;'信用保険料計算書（上限2000万）'!$G$16,0,1)))</f>
        <v>1</v>
      </c>
      <c r="G171" s="209">
        <f>IF(F171=1,HLOOKUP(C171,'計算書（第2回）'!$C$123:$U$124,2,TRUE),0)</f>
        <v>13357137</v>
      </c>
      <c r="H171" s="209">
        <f>IF('信用保険料計算書（上限2000万）'!$I$15="",0,IF($B171&lt;'信用保険料計算書（上限2000万）'!$I$15,0,IF($B171&gt;'信用保険料計算書（上限2000万）'!$I$16,0,1)))</f>
        <v>0</v>
      </c>
      <c r="I171" s="209">
        <f>IF(H171=1,HLOOKUP(C171,'計算書（第3回）'!$C$123:$U$124,2,TRUE),0)</f>
        <v>0</v>
      </c>
      <c r="J171" s="209">
        <f>IF('信用保険料計算書（上限2000万）'!$K$15="",0,IF($B171&lt;'信用保険料計算書（上限2000万）'!$K$15,0,IF($B171&gt;'信用保険料計算書（上限2000万）'!$K$16,0,1)))</f>
        <v>0</v>
      </c>
      <c r="K171" s="209">
        <f>IF(J171=1,HLOOKUP(C171,'計算書（第4回）'!$C$123:$U$124,2,TRUE),0)</f>
        <v>0</v>
      </c>
      <c r="L171" s="209">
        <f>IF('信用保険料計算書（上限2000万）'!$M$15="",0,IF($B171&lt;'信用保険料計算書（上限2000万）'!$M$15,0,IF($B171&gt;'信用保険料計算書（上限2000万）'!$M$16,0,1)))</f>
        <v>0</v>
      </c>
      <c r="M171" s="209">
        <f>IF(L171=1,HLOOKUP(C171,'計算書（第5回）'!$C$123:$U$124,2,TRUE),0)</f>
        <v>0</v>
      </c>
      <c r="N171" s="209">
        <f>IF('信用保険料計算書（上限2000万）'!$O$15="",0,IF($B171&lt;'信用保険料計算書（上限2000万）'!$O$15,0,IF($B171&gt;'信用保険料計算書（上限2000万）'!$O$16,0,1)))</f>
        <v>0</v>
      </c>
      <c r="O171" s="209">
        <f>IF(N171=1,HLOOKUP(C171,'計算書（第6回）'!$C$123:$U$124,2,TRUE),0)</f>
        <v>0</v>
      </c>
      <c r="P171" s="209">
        <f>IF('信用保険料計算書（上限2000万）'!$Q$15="",0,IF($B171&lt;'信用保険料計算書（上限2000万）'!$Q$15,0,IF($B171&gt;'信用保険料計算書（上限2000万）'!$Q$16,0,1)))</f>
        <v>0</v>
      </c>
      <c r="Q171" s="209">
        <f>IF(P171=1,HLOOKUP(C171,'計算書（第7回）'!$C$123:$U$124,2,TRUE),0)</f>
        <v>0</v>
      </c>
      <c r="R171" s="213"/>
      <c r="S171" s="211">
        <f>COUNTIF($AB$13:$AB$19,"&lt;=2025/4/1")</f>
        <v>2</v>
      </c>
      <c r="T171" s="178">
        <f t="shared" si="17"/>
        <v>44743</v>
      </c>
      <c r="U171" s="181">
        <f t="shared" si="14"/>
        <v>13494637</v>
      </c>
      <c r="V171" s="182">
        <f t="shared" si="19"/>
        <v>13494637</v>
      </c>
      <c r="W171" s="245">
        <f t="shared" si="18"/>
        <v>5397.85</v>
      </c>
      <c r="X171" s="182"/>
    </row>
    <row r="172" spans="2:24">
      <c r="B172" s="214">
        <f t="shared" si="16"/>
        <v>45778</v>
      </c>
      <c r="C172" s="198">
        <f t="shared" si="13"/>
        <v>45748</v>
      </c>
      <c r="D172" s="209">
        <f>IF(B172&lt;'信用保険料計算書（上限2000万）'!$E$15,0,IF(B172&gt;'信用保険料計算書（上限2000万）'!$E$16,0,1))</f>
        <v>1</v>
      </c>
      <c r="E172" s="209">
        <f>IF(D172=1,HLOOKUP(C172,'計算書（第1回）'!$C$123:$U$124,2,TRUE),0)</f>
        <v>137500</v>
      </c>
      <c r="F172" s="209">
        <f>IF('信用保険料計算書（上限2000万）'!$G$15="",0,IF($B172&lt;'信用保険料計算書（上限2000万）'!$G$15,0,IF($B172&gt;'信用保険料計算書（上限2000万）'!$G$16,0,1)))</f>
        <v>1</v>
      </c>
      <c r="G172" s="209">
        <f>IF(F172=1,HLOOKUP(C172,'計算書（第2回）'!$C$123:$U$124,2,TRUE),0)</f>
        <v>13357137</v>
      </c>
      <c r="H172" s="209">
        <f>IF('信用保険料計算書（上限2000万）'!$I$15="",0,IF($B172&lt;'信用保険料計算書（上限2000万）'!$I$15,0,IF($B172&gt;'信用保険料計算書（上限2000万）'!$I$16,0,1)))</f>
        <v>0</v>
      </c>
      <c r="I172" s="209">
        <f>IF(H172=1,HLOOKUP(C172,'計算書（第3回）'!$C$123:$U$124,2,TRUE),0)</f>
        <v>0</v>
      </c>
      <c r="J172" s="209">
        <f>IF('信用保険料計算書（上限2000万）'!$K$15="",0,IF($B172&lt;'信用保険料計算書（上限2000万）'!$K$15,0,IF($B172&gt;'信用保険料計算書（上限2000万）'!$K$16,0,1)))</f>
        <v>0</v>
      </c>
      <c r="K172" s="209">
        <f>IF(J172=1,HLOOKUP(C172,'計算書（第4回）'!$C$123:$U$124,2,TRUE),0)</f>
        <v>0</v>
      </c>
      <c r="L172" s="209">
        <f>IF('信用保険料計算書（上限2000万）'!$M$15="",0,IF($B172&lt;'信用保険料計算書（上限2000万）'!$M$15,0,IF($B172&gt;'信用保険料計算書（上限2000万）'!$M$16,0,1)))</f>
        <v>0</v>
      </c>
      <c r="M172" s="209">
        <f>IF(L172=1,HLOOKUP(C172,'計算書（第5回）'!$C$123:$U$124,2,TRUE),0)</f>
        <v>0</v>
      </c>
      <c r="N172" s="209">
        <f>IF('信用保険料計算書（上限2000万）'!$O$15="",0,IF($B172&lt;'信用保険料計算書（上限2000万）'!$O$15,0,IF($B172&gt;'信用保険料計算書（上限2000万）'!$O$16,0,1)))</f>
        <v>0</v>
      </c>
      <c r="O172" s="209">
        <f>IF(N172=1,HLOOKUP(C172,'計算書（第6回）'!$C$123:$U$124,2,TRUE),0)</f>
        <v>0</v>
      </c>
      <c r="P172" s="209">
        <f>IF('信用保険料計算書（上限2000万）'!$Q$15="",0,IF($B172&lt;'信用保険料計算書（上限2000万）'!$Q$15,0,IF($B172&gt;'信用保険料計算書（上限2000万）'!$Q$16,0,1)))</f>
        <v>0</v>
      </c>
      <c r="Q172" s="209">
        <f>IF(P172=1,HLOOKUP(C172,'計算書（第7回）'!$C$123:$U$124,2,TRUE),0)</f>
        <v>0</v>
      </c>
      <c r="R172" s="213"/>
      <c r="S172" s="211">
        <f>COUNTIF($AB$13:$AB$19,"&lt;=2025/5/1")</f>
        <v>2</v>
      </c>
      <c r="T172" s="178">
        <f t="shared" si="17"/>
        <v>44743</v>
      </c>
      <c r="U172" s="181">
        <f t="shared" si="14"/>
        <v>13494637</v>
      </c>
      <c r="V172" s="182">
        <f t="shared" si="19"/>
        <v>13494637</v>
      </c>
      <c r="W172" s="245">
        <f t="shared" si="18"/>
        <v>5397.85</v>
      </c>
      <c r="X172" s="182"/>
    </row>
    <row r="173" spans="2:24">
      <c r="B173" s="214">
        <f t="shared" si="16"/>
        <v>45809</v>
      </c>
      <c r="C173" s="198">
        <f t="shared" si="13"/>
        <v>45778</v>
      </c>
      <c r="D173" s="209">
        <f>IF(B173&lt;'信用保険料計算書（上限2000万）'!$E$15,0,IF(B173&gt;'信用保険料計算書（上限2000万）'!$E$16,0,1))</f>
        <v>1</v>
      </c>
      <c r="E173" s="209">
        <f>IF(D173=1,HLOOKUP(C173,'計算書（第1回）'!$C$123:$U$124,2,TRUE),0)</f>
        <v>137500</v>
      </c>
      <c r="F173" s="209">
        <f>IF('信用保険料計算書（上限2000万）'!$G$15="",0,IF($B173&lt;'信用保険料計算書（上限2000万）'!$G$15,0,IF($B173&gt;'信用保険料計算書（上限2000万）'!$G$16,0,1)))</f>
        <v>1</v>
      </c>
      <c r="G173" s="209">
        <f>IF(F173=1,HLOOKUP(C173,'計算書（第2回）'!$C$123:$U$124,2,TRUE),0)</f>
        <v>13357137</v>
      </c>
      <c r="H173" s="209">
        <f>IF('信用保険料計算書（上限2000万）'!$I$15="",0,IF($B173&lt;'信用保険料計算書（上限2000万）'!$I$15,0,IF($B173&gt;'信用保険料計算書（上限2000万）'!$I$16,0,1)))</f>
        <v>0</v>
      </c>
      <c r="I173" s="209">
        <f>IF(H173=1,HLOOKUP(C173,'計算書（第3回）'!$C$123:$U$124,2,TRUE),0)</f>
        <v>0</v>
      </c>
      <c r="J173" s="209">
        <f>IF('信用保険料計算書（上限2000万）'!$K$15="",0,IF($B173&lt;'信用保険料計算書（上限2000万）'!$K$15,0,IF($B173&gt;'信用保険料計算書（上限2000万）'!$K$16,0,1)))</f>
        <v>0</v>
      </c>
      <c r="K173" s="209">
        <f>IF(J173=1,HLOOKUP(C173,'計算書（第4回）'!$C$123:$U$124,2,TRUE),0)</f>
        <v>0</v>
      </c>
      <c r="L173" s="209">
        <f>IF('信用保険料計算書（上限2000万）'!$M$15="",0,IF($B173&lt;'信用保険料計算書（上限2000万）'!$M$15,0,IF($B173&gt;'信用保険料計算書（上限2000万）'!$M$16,0,1)))</f>
        <v>0</v>
      </c>
      <c r="M173" s="209">
        <f>IF(L173=1,HLOOKUP(C173,'計算書（第5回）'!$C$123:$U$124,2,TRUE),0)</f>
        <v>0</v>
      </c>
      <c r="N173" s="209">
        <f>IF('信用保険料計算書（上限2000万）'!$O$15="",0,IF($B173&lt;'信用保険料計算書（上限2000万）'!$O$15,0,IF($B173&gt;'信用保険料計算書（上限2000万）'!$O$16,0,1)))</f>
        <v>0</v>
      </c>
      <c r="O173" s="209">
        <f>IF(N173=1,HLOOKUP(C173,'計算書（第6回）'!$C$123:$U$124,2,TRUE),0)</f>
        <v>0</v>
      </c>
      <c r="P173" s="209">
        <f>IF('信用保険料計算書（上限2000万）'!$Q$15="",0,IF($B173&lt;'信用保険料計算書（上限2000万）'!$Q$15,0,IF($B173&gt;'信用保険料計算書（上限2000万）'!$Q$16,0,1)))</f>
        <v>0</v>
      </c>
      <c r="Q173" s="209">
        <f>IF(P173=1,HLOOKUP(C173,'計算書（第7回）'!$C$123:$U$124,2,TRUE),0)</f>
        <v>0</v>
      </c>
      <c r="R173" s="213"/>
      <c r="S173" s="211">
        <f>COUNTIF($AB$13:$AB$19,"&lt;=2025/6/1")</f>
        <v>2</v>
      </c>
      <c r="T173" s="178">
        <f t="shared" si="17"/>
        <v>44743</v>
      </c>
      <c r="U173" s="181">
        <f t="shared" si="14"/>
        <v>13494637</v>
      </c>
      <c r="V173" s="182">
        <f t="shared" si="19"/>
        <v>13494637</v>
      </c>
      <c r="W173" s="245">
        <f t="shared" si="18"/>
        <v>5397.85</v>
      </c>
      <c r="X173" s="182"/>
    </row>
    <row r="174" spans="2:24">
      <c r="B174" s="214">
        <f t="shared" si="16"/>
        <v>45839</v>
      </c>
      <c r="C174" s="198">
        <f t="shared" si="13"/>
        <v>45809</v>
      </c>
      <c r="D174" s="209">
        <f>IF(B174&lt;'信用保険料計算書（上限2000万）'!$E$15,0,IF(B174&gt;'信用保険料計算書（上限2000万）'!$E$16,0,1))</f>
        <v>1</v>
      </c>
      <c r="E174" s="209">
        <f>IF(D174=1,HLOOKUP(C174,'計算書（第1回）'!$C$123:$U$124,2,TRUE),0)</f>
        <v>137500</v>
      </c>
      <c r="F174" s="209">
        <f>IF('信用保険料計算書（上限2000万）'!$G$15="",0,IF($B174&lt;'信用保険料計算書（上限2000万）'!$G$15,0,IF($B174&gt;'信用保険料計算書（上限2000万）'!$G$16,0,1)))</f>
        <v>1</v>
      </c>
      <c r="G174" s="209">
        <f>IF(F174=1,HLOOKUP(C174,'計算書（第2回）'!$C$123:$U$124,2,TRUE),0)</f>
        <v>13357137</v>
      </c>
      <c r="H174" s="209">
        <f>IF('信用保険料計算書（上限2000万）'!$I$15="",0,IF($B174&lt;'信用保険料計算書（上限2000万）'!$I$15,0,IF($B174&gt;'信用保険料計算書（上限2000万）'!$I$16,0,1)))</f>
        <v>0</v>
      </c>
      <c r="I174" s="209">
        <f>IF(H174=1,HLOOKUP(C174,'計算書（第3回）'!$C$123:$U$124,2,TRUE),0)</f>
        <v>0</v>
      </c>
      <c r="J174" s="209">
        <f>IF('信用保険料計算書（上限2000万）'!$K$15="",0,IF($B174&lt;'信用保険料計算書（上限2000万）'!$K$15,0,IF($B174&gt;'信用保険料計算書（上限2000万）'!$K$16,0,1)))</f>
        <v>0</v>
      </c>
      <c r="K174" s="209">
        <f>IF(J174=1,HLOOKUP(C174,'計算書（第4回）'!$C$123:$U$124,2,TRUE),0)</f>
        <v>0</v>
      </c>
      <c r="L174" s="209">
        <f>IF('信用保険料計算書（上限2000万）'!$M$15="",0,IF($B174&lt;'信用保険料計算書（上限2000万）'!$M$15,0,IF($B174&gt;'信用保険料計算書（上限2000万）'!$M$16,0,1)))</f>
        <v>0</v>
      </c>
      <c r="M174" s="209">
        <f>IF(L174=1,HLOOKUP(C174,'計算書（第5回）'!$C$123:$U$124,2,TRUE),0)</f>
        <v>0</v>
      </c>
      <c r="N174" s="209">
        <f>IF('信用保険料計算書（上限2000万）'!$O$15="",0,IF($B174&lt;'信用保険料計算書（上限2000万）'!$O$15,0,IF($B174&gt;'信用保険料計算書（上限2000万）'!$O$16,0,1)))</f>
        <v>0</v>
      </c>
      <c r="O174" s="209">
        <f>IF(N174=1,HLOOKUP(C174,'計算書（第6回）'!$C$123:$U$124,2,TRUE),0)</f>
        <v>0</v>
      </c>
      <c r="P174" s="209">
        <f>IF('信用保険料計算書（上限2000万）'!$Q$15="",0,IF($B174&lt;'信用保険料計算書（上限2000万）'!$Q$15,0,IF($B174&gt;'信用保険料計算書（上限2000万）'!$Q$16,0,1)))</f>
        <v>0</v>
      </c>
      <c r="Q174" s="209">
        <f>IF(P174=1,HLOOKUP(C174,'計算書（第7回）'!$C$123:$U$124,2,TRUE),0)</f>
        <v>0</v>
      </c>
      <c r="R174" s="213"/>
      <c r="S174" s="211">
        <f>COUNTIF($AB$13:$AB$19,"&lt;=2025/7/1")</f>
        <v>2</v>
      </c>
      <c r="T174" s="178">
        <f t="shared" si="17"/>
        <v>44743</v>
      </c>
      <c r="U174" s="181">
        <f t="shared" si="14"/>
        <v>13494637</v>
      </c>
      <c r="V174" s="182">
        <f t="shared" si="19"/>
        <v>13494637</v>
      </c>
      <c r="W174" s="245">
        <f t="shared" si="18"/>
        <v>5397.85</v>
      </c>
      <c r="X174" s="182"/>
    </row>
    <row r="175" spans="2:24">
      <c r="B175" s="214">
        <f t="shared" si="16"/>
        <v>45870</v>
      </c>
      <c r="C175" s="198">
        <f t="shared" si="13"/>
        <v>45839</v>
      </c>
      <c r="D175" s="209">
        <f>IF(B175&lt;'信用保険料計算書（上限2000万）'!$E$15,0,IF(B175&gt;'信用保険料計算書（上限2000万）'!$E$16,0,1))</f>
        <v>1</v>
      </c>
      <c r="E175" s="209">
        <f>IF(D175=1,HLOOKUP(C175,'計算書（第1回）'!$C$123:$U$124,2,TRUE),0)</f>
        <v>137500</v>
      </c>
      <c r="F175" s="209">
        <f>IF('信用保険料計算書（上限2000万）'!$G$15="",0,IF($B175&lt;'信用保険料計算書（上限2000万）'!$G$15,0,IF($B175&gt;'信用保険料計算書（上限2000万）'!$G$16,0,1)))</f>
        <v>1</v>
      </c>
      <c r="G175" s="209">
        <f>IF(F175=1,HLOOKUP(C175,'計算書（第2回）'!$C$123:$U$124,2,TRUE),0)</f>
        <v>13357137</v>
      </c>
      <c r="H175" s="209">
        <f>IF('信用保険料計算書（上限2000万）'!$I$15="",0,IF($B175&lt;'信用保険料計算書（上限2000万）'!$I$15,0,IF($B175&gt;'信用保険料計算書（上限2000万）'!$I$16,0,1)))</f>
        <v>0</v>
      </c>
      <c r="I175" s="209">
        <f>IF(H175=1,HLOOKUP(C175,'計算書（第3回）'!$C$123:$U$124,2,TRUE),0)</f>
        <v>0</v>
      </c>
      <c r="J175" s="209">
        <f>IF('信用保険料計算書（上限2000万）'!$K$15="",0,IF($B175&lt;'信用保険料計算書（上限2000万）'!$K$15,0,IF($B175&gt;'信用保険料計算書（上限2000万）'!$K$16,0,1)))</f>
        <v>0</v>
      </c>
      <c r="K175" s="209">
        <f>IF(J175=1,HLOOKUP(C175,'計算書（第4回）'!$C$123:$U$124,2,TRUE),0)</f>
        <v>0</v>
      </c>
      <c r="L175" s="209">
        <f>IF('信用保険料計算書（上限2000万）'!$M$15="",0,IF($B175&lt;'信用保険料計算書（上限2000万）'!$M$15,0,IF($B175&gt;'信用保険料計算書（上限2000万）'!$M$16,0,1)))</f>
        <v>0</v>
      </c>
      <c r="M175" s="209">
        <f>IF(L175=1,HLOOKUP(C175,'計算書（第5回）'!$C$123:$U$124,2,TRUE),0)</f>
        <v>0</v>
      </c>
      <c r="N175" s="209">
        <f>IF('信用保険料計算書（上限2000万）'!$O$15="",0,IF($B175&lt;'信用保険料計算書（上限2000万）'!$O$15,0,IF($B175&gt;'信用保険料計算書（上限2000万）'!$O$16,0,1)))</f>
        <v>0</v>
      </c>
      <c r="O175" s="209">
        <f>IF(N175=1,HLOOKUP(C175,'計算書（第6回）'!$C$123:$U$124,2,TRUE),0)</f>
        <v>0</v>
      </c>
      <c r="P175" s="209">
        <f>IF('信用保険料計算書（上限2000万）'!$Q$15="",0,IF($B175&lt;'信用保険料計算書（上限2000万）'!$Q$15,0,IF($B175&gt;'信用保険料計算書（上限2000万）'!$Q$16,0,1)))</f>
        <v>0</v>
      </c>
      <c r="Q175" s="209">
        <f>IF(P175=1,HLOOKUP(C175,'計算書（第7回）'!$C$123:$U$124,2,TRUE),0)</f>
        <v>0</v>
      </c>
      <c r="R175" s="213"/>
      <c r="S175" s="211">
        <f>COUNTIF($AB$13:$AB$19,"&lt;=2025/8/1")</f>
        <v>2</v>
      </c>
      <c r="T175" s="178">
        <f t="shared" si="17"/>
        <v>44743</v>
      </c>
      <c r="U175" s="181">
        <f t="shared" si="14"/>
        <v>13494637</v>
      </c>
      <c r="V175" s="182">
        <f t="shared" si="19"/>
        <v>13494637</v>
      </c>
      <c r="W175" s="245">
        <f t="shared" si="18"/>
        <v>5397.85</v>
      </c>
      <c r="X175" s="182"/>
    </row>
    <row r="176" spans="2:24">
      <c r="B176" s="214">
        <f t="shared" si="16"/>
        <v>45901</v>
      </c>
      <c r="C176" s="198">
        <f t="shared" si="13"/>
        <v>45870</v>
      </c>
      <c r="D176" s="209">
        <f>IF(B176&lt;'信用保険料計算書（上限2000万）'!$E$15,0,IF(B176&gt;'信用保険料計算書（上限2000万）'!$E$16,0,1))</f>
        <v>1</v>
      </c>
      <c r="E176" s="209">
        <f>IF(D176=1,HLOOKUP(C176,'計算書（第1回）'!$C$123:$U$124,2,TRUE),0)</f>
        <v>137500</v>
      </c>
      <c r="F176" s="209">
        <f>IF('信用保険料計算書（上限2000万）'!$G$15="",0,IF($B176&lt;'信用保険料計算書（上限2000万）'!$G$15,0,IF($B176&gt;'信用保険料計算書（上限2000万）'!$G$16,0,1)))</f>
        <v>1</v>
      </c>
      <c r="G176" s="209">
        <f>IF(F176=1,HLOOKUP(C176,'計算書（第2回）'!$C$123:$U$124,2,TRUE),0)</f>
        <v>13357137</v>
      </c>
      <c r="H176" s="209">
        <f>IF('信用保険料計算書（上限2000万）'!$I$15="",0,IF($B176&lt;'信用保険料計算書（上限2000万）'!$I$15,0,IF($B176&gt;'信用保険料計算書（上限2000万）'!$I$16,0,1)))</f>
        <v>0</v>
      </c>
      <c r="I176" s="209">
        <f>IF(H176=1,HLOOKUP(C176,'計算書（第3回）'!$C$123:$U$124,2,TRUE),0)</f>
        <v>0</v>
      </c>
      <c r="J176" s="209">
        <f>IF('信用保険料計算書（上限2000万）'!$K$15="",0,IF($B176&lt;'信用保険料計算書（上限2000万）'!$K$15,0,IF($B176&gt;'信用保険料計算書（上限2000万）'!$K$16,0,1)))</f>
        <v>0</v>
      </c>
      <c r="K176" s="209">
        <f>IF(J176=1,HLOOKUP(C176,'計算書（第4回）'!$C$123:$U$124,2,TRUE),0)</f>
        <v>0</v>
      </c>
      <c r="L176" s="209">
        <f>IF('信用保険料計算書（上限2000万）'!$M$15="",0,IF($B176&lt;'信用保険料計算書（上限2000万）'!$M$15,0,IF($B176&gt;'信用保険料計算書（上限2000万）'!$M$16,0,1)))</f>
        <v>0</v>
      </c>
      <c r="M176" s="209">
        <f>IF(L176=1,HLOOKUP(C176,'計算書（第5回）'!$C$123:$U$124,2,TRUE),0)</f>
        <v>0</v>
      </c>
      <c r="N176" s="209">
        <f>IF('信用保険料計算書（上限2000万）'!$O$15="",0,IF($B176&lt;'信用保険料計算書（上限2000万）'!$O$15,0,IF($B176&gt;'信用保険料計算書（上限2000万）'!$O$16,0,1)))</f>
        <v>0</v>
      </c>
      <c r="O176" s="209">
        <f>IF(N176=1,HLOOKUP(C176,'計算書（第6回）'!$C$123:$U$124,2,TRUE),0)</f>
        <v>0</v>
      </c>
      <c r="P176" s="209">
        <f>IF('信用保険料計算書（上限2000万）'!$Q$15="",0,IF($B176&lt;'信用保険料計算書（上限2000万）'!$Q$15,0,IF($B176&gt;'信用保険料計算書（上限2000万）'!$Q$16,0,1)))</f>
        <v>0</v>
      </c>
      <c r="Q176" s="209">
        <f>IF(P176=1,HLOOKUP(C176,'計算書（第7回）'!$C$123:$U$124,2,TRUE),0)</f>
        <v>0</v>
      </c>
      <c r="R176" s="213"/>
      <c r="S176" s="211">
        <f>COUNTIF($AB$13:$AB$19,"&lt;=2025/9/1")</f>
        <v>2</v>
      </c>
      <c r="T176" s="178">
        <f t="shared" si="17"/>
        <v>44743</v>
      </c>
      <c r="U176" s="181">
        <f t="shared" si="14"/>
        <v>13494637</v>
      </c>
      <c r="V176" s="182">
        <f t="shared" si="19"/>
        <v>13494637</v>
      </c>
      <c r="W176" s="245">
        <f t="shared" si="18"/>
        <v>5397.85</v>
      </c>
      <c r="X176" s="183">
        <f>INT(SUM(W171:W176))</f>
        <v>32387</v>
      </c>
    </row>
    <row r="177" spans="2:24">
      <c r="B177" s="214">
        <f t="shared" si="16"/>
        <v>45931</v>
      </c>
      <c r="C177" s="198">
        <f t="shared" si="13"/>
        <v>45901</v>
      </c>
      <c r="D177" s="209">
        <f>IF(B177&lt;'信用保険料計算書（上限2000万）'!$E$15,0,IF(B177&gt;'信用保険料計算書（上限2000万）'!$E$16,0,1))</f>
        <v>1</v>
      </c>
      <c r="E177" s="209">
        <f>IF(D177=1,HLOOKUP(C177,'計算書（第1回）'!$C$123:$U$124,2,TRUE),0)</f>
        <v>68750</v>
      </c>
      <c r="F177" s="209">
        <f>IF('信用保険料計算書（上限2000万）'!$G$15="",0,IF($B177&lt;'信用保険料計算書（上限2000万）'!$G$15,0,IF($B177&gt;'信用保険料計算書（上限2000万）'!$G$16,0,1)))</f>
        <v>1</v>
      </c>
      <c r="G177" s="209">
        <f>IF(F177=1,HLOOKUP(C177,'計算書（第2回）'!$C$123:$U$124,2,TRUE),0)</f>
        <v>11785709</v>
      </c>
      <c r="H177" s="209">
        <f>IF('信用保険料計算書（上限2000万）'!$I$15="",0,IF($B177&lt;'信用保険料計算書（上限2000万）'!$I$15,0,IF($B177&gt;'信用保険料計算書（上限2000万）'!$I$16,0,1)))</f>
        <v>0</v>
      </c>
      <c r="I177" s="209">
        <f>IF(H177=1,HLOOKUP(C177,'計算書（第3回）'!$C$123:$U$124,2,TRUE),0)</f>
        <v>0</v>
      </c>
      <c r="J177" s="209">
        <f>IF('信用保険料計算書（上限2000万）'!$K$15="",0,IF($B177&lt;'信用保険料計算書（上限2000万）'!$K$15,0,IF($B177&gt;'信用保険料計算書（上限2000万）'!$K$16,0,1)))</f>
        <v>0</v>
      </c>
      <c r="K177" s="209">
        <f>IF(J177=1,HLOOKUP(C177,'計算書（第4回）'!$C$123:$U$124,2,TRUE),0)</f>
        <v>0</v>
      </c>
      <c r="L177" s="209">
        <f>IF('信用保険料計算書（上限2000万）'!$M$15="",0,IF($B177&lt;'信用保険料計算書（上限2000万）'!$M$15,0,IF($B177&gt;'信用保険料計算書（上限2000万）'!$M$16,0,1)))</f>
        <v>0</v>
      </c>
      <c r="M177" s="209">
        <f>IF(L177=1,HLOOKUP(C177,'計算書（第5回）'!$C$123:$U$124,2,TRUE),0)</f>
        <v>0</v>
      </c>
      <c r="N177" s="209">
        <f>IF('信用保険料計算書（上限2000万）'!$O$15="",0,IF($B177&lt;'信用保険料計算書（上限2000万）'!$O$15,0,IF($B177&gt;'信用保険料計算書（上限2000万）'!$O$16,0,1)))</f>
        <v>0</v>
      </c>
      <c r="O177" s="209">
        <f>IF(N177=1,HLOOKUP(C177,'計算書（第6回）'!$C$123:$U$124,2,TRUE),0)</f>
        <v>0</v>
      </c>
      <c r="P177" s="209">
        <f>IF('信用保険料計算書（上限2000万）'!$Q$15="",0,IF($B177&lt;'信用保険料計算書（上限2000万）'!$Q$15,0,IF($B177&gt;'信用保険料計算書（上限2000万）'!$Q$16,0,1)))</f>
        <v>0</v>
      </c>
      <c r="Q177" s="209">
        <f>IF(P177=1,HLOOKUP(C177,'計算書（第7回）'!$C$123:$U$124,2,TRUE),0)</f>
        <v>0</v>
      </c>
      <c r="R177" s="213"/>
      <c r="S177" s="211">
        <f>COUNTIF($AB$13:$AB$19,"&lt;=2025/10/1")</f>
        <v>2</v>
      </c>
      <c r="T177" s="178">
        <f t="shared" si="17"/>
        <v>44743</v>
      </c>
      <c r="U177" s="181">
        <f t="shared" si="14"/>
        <v>11854459</v>
      </c>
      <c r="V177" s="182">
        <f t="shared" si="19"/>
        <v>11854459</v>
      </c>
      <c r="W177" s="245">
        <f t="shared" si="18"/>
        <v>4741.78</v>
      </c>
      <c r="X177" s="182"/>
    </row>
    <row r="178" spans="2:24">
      <c r="B178" s="214">
        <f t="shared" si="16"/>
        <v>45962</v>
      </c>
      <c r="C178" s="198">
        <f t="shared" si="13"/>
        <v>45931</v>
      </c>
      <c r="D178" s="209">
        <f>IF(B178&lt;'信用保険料計算書（上限2000万）'!$E$15,0,IF(B178&gt;'信用保険料計算書（上限2000万）'!$E$16,0,1))</f>
        <v>1</v>
      </c>
      <c r="E178" s="209">
        <f>IF(D178=1,HLOOKUP(C178,'計算書（第1回）'!$C$123:$U$124,2,TRUE),0)</f>
        <v>68750</v>
      </c>
      <c r="F178" s="209">
        <f>IF('信用保険料計算書（上限2000万）'!$G$15="",0,IF($B178&lt;'信用保険料計算書（上限2000万）'!$G$15,0,IF($B178&gt;'信用保険料計算書（上限2000万）'!$G$16,0,1)))</f>
        <v>1</v>
      </c>
      <c r="G178" s="209">
        <f>IF(F178=1,HLOOKUP(C178,'計算書（第2回）'!$C$123:$U$124,2,TRUE),0)</f>
        <v>11785709</v>
      </c>
      <c r="H178" s="209">
        <f>IF('信用保険料計算書（上限2000万）'!$I$15="",0,IF($B178&lt;'信用保険料計算書（上限2000万）'!$I$15,0,IF($B178&gt;'信用保険料計算書（上限2000万）'!$I$16,0,1)))</f>
        <v>0</v>
      </c>
      <c r="I178" s="209">
        <f>IF(H178=1,HLOOKUP(C178,'計算書（第3回）'!$C$123:$U$124,2,TRUE),0)</f>
        <v>0</v>
      </c>
      <c r="J178" s="209">
        <f>IF('信用保険料計算書（上限2000万）'!$K$15="",0,IF($B178&lt;'信用保険料計算書（上限2000万）'!$K$15,0,IF($B178&gt;'信用保険料計算書（上限2000万）'!$K$16,0,1)))</f>
        <v>0</v>
      </c>
      <c r="K178" s="209">
        <f>IF(J178=1,HLOOKUP(C178,'計算書（第4回）'!$C$123:$U$124,2,TRUE),0)</f>
        <v>0</v>
      </c>
      <c r="L178" s="209">
        <f>IF('信用保険料計算書（上限2000万）'!$M$15="",0,IF($B178&lt;'信用保険料計算書（上限2000万）'!$M$15,0,IF($B178&gt;'信用保険料計算書（上限2000万）'!$M$16,0,1)))</f>
        <v>0</v>
      </c>
      <c r="M178" s="209">
        <f>IF(L178=1,HLOOKUP(C178,'計算書（第5回）'!$C$123:$U$124,2,TRUE),0)</f>
        <v>0</v>
      </c>
      <c r="N178" s="209">
        <f>IF('信用保険料計算書（上限2000万）'!$O$15="",0,IF($B178&lt;'信用保険料計算書（上限2000万）'!$O$15,0,IF($B178&gt;'信用保険料計算書（上限2000万）'!$O$16,0,1)))</f>
        <v>0</v>
      </c>
      <c r="O178" s="209">
        <f>IF(N178=1,HLOOKUP(C178,'計算書（第6回）'!$C$123:$U$124,2,TRUE),0)</f>
        <v>0</v>
      </c>
      <c r="P178" s="209">
        <f>IF('信用保険料計算書（上限2000万）'!$Q$15="",0,IF($B178&lt;'信用保険料計算書（上限2000万）'!$Q$15,0,IF($B178&gt;'信用保険料計算書（上限2000万）'!$Q$16,0,1)))</f>
        <v>0</v>
      </c>
      <c r="Q178" s="209">
        <f>IF(P178=1,HLOOKUP(C178,'計算書（第7回）'!$C$123:$U$124,2,TRUE),0)</f>
        <v>0</v>
      </c>
      <c r="R178" s="213"/>
      <c r="S178" s="211">
        <f>COUNTIF($AB$13:$AB$19,"&lt;=2025/11/1")</f>
        <v>2</v>
      </c>
      <c r="T178" s="178">
        <f t="shared" si="17"/>
        <v>44743</v>
      </c>
      <c r="U178" s="181">
        <f t="shared" si="14"/>
        <v>11854459</v>
      </c>
      <c r="V178" s="182">
        <f t="shared" si="19"/>
        <v>11854459</v>
      </c>
      <c r="W178" s="245">
        <f t="shared" si="18"/>
        <v>4741.78</v>
      </c>
      <c r="X178" s="182"/>
    </row>
    <row r="179" spans="2:24">
      <c r="B179" s="214">
        <f t="shared" si="16"/>
        <v>45992</v>
      </c>
      <c r="C179" s="198">
        <f t="shared" si="13"/>
        <v>45962</v>
      </c>
      <c r="D179" s="209">
        <f>IF(B179&lt;'信用保険料計算書（上限2000万）'!$E$15,0,IF(B179&gt;'信用保険料計算書（上限2000万）'!$E$16,0,1))</f>
        <v>1</v>
      </c>
      <c r="E179" s="209">
        <f>IF(D179=1,HLOOKUP(C179,'計算書（第1回）'!$C$123:$U$124,2,TRUE),0)</f>
        <v>68750</v>
      </c>
      <c r="F179" s="209">
        <f>IF('信用保険料計算書（上限2000万）'!$G$15="",0,IF($B179&lt;'信用保険料計算書（上限2000万）'!$G$15,0,IF($B179&gt;'信用保険料計算書（上限2000万）'!$G$16,0,1)))</f>
        <v>1</v>
      </c>
      <c r="G179" s="209">
        <f>IF(F179=1,HLOOKUP(C179,'計算書（第2回）'!$C$123:$U$124,2,TRUE),0)</f>
        <v>11785709</v>
      </c>
      <c r="H179" s="209">
        <f>IF('信用保険料計算書（上限2000万）'!$I$15="",0,IF($B179&lt;'信用保険料計算書（上限2000万）'!$I$15,0,IF($B179&gt;'信用保険料計算書（上限2000万）'!$I$16,0,1)))</f>
        <v>0</v>
      </c>
      <c r="I179" s="209">
        <f>IF(H179=1,HLOOKUP(C179,'計算書（第3回）'!$C$123:$U$124,2,TRUE),0)</f>
        <v>0</v>
      </c>
      <c r="J179" s="209">
        <f>IF('信用保険料計算書（上限2000万）'!$K$15="",0,IF($B179&lt;'信用保険料計算書（上限2000万）'!$K$15,0,IF($B179&gt;'信用保険料計算書（上限2000万）'!$K$16,0,1)))</f>
        <v>0</v>
      </c>
      <c r="K179" s="209">
        <f>IF(J179=1,HLOOKUP(C179,'計算書（第4回）'!$C$123:$U$124,2,TRUE),0)</f>
        <v>0</v>
      </c>
      <c r="L179" s="209">
        <f>IF('信用保険料計算書（上限2000万）'!$M$15="",0,IF($B179&lt;'信用保険料計算書（上限2000万）'!$M$15,0,IF($B179&gt;'信用保険料計算書（上限2000万）'!$M$16,0,1)))</f>
        <v>0</v>
      </c>
      <c r="M179" s="209">
        <f>IF(L179=1,HLOOKUP(C179,'計算書（第5回）'!$C$123:$U$124,2,TRUE),0)</f>
        <v>0</v>
      </c>
      <c r="N179" s="209">
        <f>IF('信用保険料計算書（上限2000万）'!$O$15="",0,IF($B179&lt;'信用保険料計算書（上限2000万）'!$O$15,0,IF($B179&gt;'信用保険料計算書（上限2000万）'!$O$16,0,1)))</f>
        <v>0</v>
      </c>
      <c r="O179" s="209">
        <f>IF(N179=1,HLOOKUP(C179,'計算書（第6回）'!$C$123:$U$124,2,TRUE),0)</f>
        <v>0</v>
      </c>
      <c r="P179" s="209">
        <f>IF('信用保険料計算書（上限2000万）'!$Q$15="",0,IF($B179&lt;'信用保険料計算書（上限2000万）'!$Q$15,0,IF($B179&gt;'信用保険料計算書（上限2000万）'!$Q$16,0,1)))</f>
        <v>0</v>
      </c>
      <c r="Q179" s="209">
        <f>IF(P179=1,HLOOKUP(C179,'計算書（第7回）'!$C$123:$U$124,2,TRUE),0)</f>
        <v>0</v>
      </c>
      <c r="R179" s="213"/>
      <c r="S179" s="211">
        <f>COUNTIF($AB$13:$AB$19,"&lt;=2025/12/1")</f>
        <v>2</v>
      </c>
      <c r="T179" s="178">
        <f t="shared" si="17"/>
        <v>44743</v>
      </c>
      <c r="U179" s="181">
        <f t="shared" si="14"/>
        <v>11854459</v>
      </c>
      <c r="V179" s="182">
        <f t="shared" si="19"/>
        <v>11854459</v>
      </c>
      <c r="W179" s="245">
        <f t="shared" si="18"/>
        <v>4741.78</v>
      </c>
      <c r="X179" s="182"/>
    </row>
    <row r="180" spans="2:24">
      <c r="B180" s="214">
        <f t="shared" si="16"/>
        <v>46023</v>
      </c>
      <c r="C180" s="198">
        <f t="shared" si="13"/>
        <v>45992</v>
      </c>
      <c r="D180" s="209">
        <f>IF(B180&lt;'信用保険料計算書（上限2000万）'!$E$15,0,IF(B180&gt;'信用保険料計算書（上限2000万）'!$E$16,0,1))</f>
        <v>1</v>
      </c>
      <c r="E180" s="209">
        <f>IF(D180=1,HLOOKUP(C180,'計算書（第1回）'!$C$123:$U$124,2,TRUE),0)</f>
        <v>68750</v>
      </c>
      <c r="F180" s="209">
        <f>IF('信用保険料計算書（上限2000万）'!$G$15="",0,IF($B180&lt;'信用保険料計算書（上限2000万）'!$G$15,0,IF($B180&gt;'信用保険料計算書（上限2000万）'!$G$16,0,1)))</f>
        <v>1</v>
      </c>
      <c r="G180" s="209">
        <f>IF(F180=1,HLOOKUP(C180,'計算書（第2回）'!$C$123:$U$124,2,TRUE),0)</f>
        <v>11785709</v>
      </c>
      <c r="H180" s="209">
        <f>IF('信用保険料計算書（上限2000万）'!$I$15="",0,IF($B180&lt;'信用保険料計算書（上限2000万）'!$I$15,0,IF($B180&gt;'信用保険料計算書（上限2000万）'!$I$16,0,1)))</f>
        <v>0</v>
      </c>
      <c r="I180" s="209">
        <f>IF(H180=1,HLOOKUP(C180,'計算書（第3回）'!$C$123:$U$124,2,TRUE),0)</f>
        <v>0</v>
      </c>
      <c r="J180" s="209">
        <f>IF('信用保険料計算書（上限2000万）'!$K$15="",0,IF($B180&lt;'信用保険料計算書（上限2000万）'!$K$15,0,IF($B180&gt;'信用保険料計算書（上限2000万）'!$K$16,0,1)))</f>
        <v>0</v>
      </c>
      <c r="K180" s="209">
        <f>IF(J180=1,HLOOKUP(C180,'計算書（第4回）'!$C$123:$U$124,2,TRUE),0)</f>
        <v>0</v>
      </c>
      <c r="L180" s="209">
        <f>IF('信用保険料計算書（上限2000万）'!$M$15="",0,IF($B180&lt;'信用保険料計算書（上限2000万）'!$M$15,0,IF($B180&gt;'信用保険料計算書（上限2000万）'!$M$16,0,1)))</f>
        <v>0</v>
      </c>
      <c r="M180" s="209">
        <f>IF(L180=1,HLOOKUP(C180,'計算書（第5回）'!$C$123:$U$124,2,TRUE),0)</f>
        <v>0</v>
      </c>
      <c r="N180" s="209">
        <f>IF('信用保険料計算書（上限2000万）'!$O$15="",0,IF($B180&lt;'信用保険料計算書（上限2000万）'!$O$15,0,IF($B180&gt;'信用保険料計算書（上限2000万）'!$O$16,0,1)))</f>
        <v>0</v>
      </c>
      <c r="O180" s="209">
        <f>IF(N180=1,HLOOKUP(C180,'計算書（第6回）'!$C$123:$U$124,2,TRUE),0)</f>
        <v>0</v>
      </c>
      <c r="P180" s="209">
        <f>IF('信用保険料計算書（上限2000万）'!$Q$15="",0,IF($B180&lt;'信用保険料計算書（上限2000万）'!$Q$15,0,IF($B180&gt;'信用保険料計算書（上限2000万）'!$Q$16,0,1)))</f>
        <v>0</v>
      </c>
      <c r="Q180" s="209">
        <f>IF(P180=1,HLOOKUP(C180,'計算書（第7回）'!$C$123:$U$124,2,TRUE),0)</f>
        <v>0</v>
      </c>
      <c r="R180" s="212"/>
      <c r="S180" s="211">
        <f>COUNTIF($AB$13:$AB$19,"&lt;=2026/1/1")</f>
        <v>2</v>
      </c>
      <c r="T180" s="178">
        <f t="shared" si="17"/>
        <v>44743</v>
      </c>
      <c r="U180" s="181">
        <f t="shared" si="14"/>
        <v>11854459</v>
      </c>
      <c r="V180" s="182">
        <f t="shared" si="19"/>
        <v>11854459</v>
      </c>
      <c r="W180" s="245">
        <f t="shared" si="18"/>
        <v>4741.78</v>
      </c>
      <c r="X180" s="182"/>
    </row>
    <row r="181" spans="2:24">
      <c r="B181" s="214">
        <f t="shared" si="16"/>
        <v>46054</v>
      </c>
      <c r="C181" s="198">
        <f t="shared" si="13"/>
        <v>46023</v>
      </c>
      <c r="D181" s="209">
        <f>IF(B181&lt;'信用保険料計算書（上限2000万）'!$E$15,0,IF(B181&gt;'信用保険料計算書（上限2000万）'!$E$16,0,1))</f>
        <v>1</v>
      </c>
      <c r="E181" s="209">
        <f>IF(D181=1,HLOOKUP(C181,'計算書（第1回）'!$C$123:$U$124,2,TRUE),0)</f>
        <v>68750</v>
      </c>
      <c r="F181" s="209">
        <f>IF('信用保険料計算書（上限2000万）'!$G$15="",0,IF($B181&lt;'信用保険料計算書（上限2000万）'!$G$15,0,IF($B181&gt;'信用保険料計算書（上限2000万）'!$G$16,0,1)))</f>
        <v>1</v>
      </c>
      <c r="G181" s="209">
        <f>IF(F181=1,HLOOKUP(C181,'計算書（第2回）'!$C$123:$U$124,2,TRUE),0)</f>
        <v>11785709</v>
      </c>
      <c r="H181" s="209">
        <f>IF('信用保険料計算書（上限2000万）'!$I$15="",0,IF($B181&lt;'信用保険料計算書（上限2000万）'!$I$15,0,IF($B181&gt;'信用保険料計算書（上限2000万）'!$I$16,0,1)))</f>
        <v>0</v>
      </c>
      <c r="I181" s="209">
        <f>IF(H181=1,HLOOKUP(C181,'計算書（第3回）'!$C$123:$U$124,2,TRUE),0)</f>
        <v>0</v>
      </c>
      <c r="J181" s="209">
        <f>IF('信用保険料計算書（上限2000万）'!$K$15="",0,IF($B181&lt;'信用保険料計算書（上限2000万）'!$K$15,0,IF($B181&gt;'信用保険料計算書（上限2000万）'!$K$16,0,1)))</f>
        <v>0</v>
      </c>
      <c r="K181" s="209">
        <f>IF(J181=1,HLOOKUP(C181,'計算書（第4回）'!$C$123:$U$124,2,TRUE),0)</f>
        <v>0</v>
      </c>
      <c r="L181" s="209">
        <f>IF('信用保険料計算書（上限2000万）'!$M$15="",0,IF($B181&lt;'信用保険料計算書（上限2000万）'!$M$15,0,IF($B181&gt;'信用保険料計算書（上限2000万）'!$M$16,0,1)))</f>
        <v>0</v>
      </c>
      <c r="M181" s="209">
        <f>IF(L181=1,HLOOKUP(C181,'計算書（第5回）'!$C$123:$U$124,2,TRUE),0)</f>
        <v>0</v>
      </c>
      <c r="N181" s="209">
        <f>IF('信用保険料計算書（上限2000万）'!$O$15="",0,IF($B181&lt;'信用保険料計算書（上限2000万）'!$O$15,0,IF($B181&gt;'信用保険料計算書（上限2000万）'!$O$16,0,1)))</f>
        <v>0</v>
      </c>
      <c r="O181" s="209">
        <f>IF(N181=1,HLOOKUP(C181,'計算書（第6回）'!$C$123:$U$124,2,TRUE),0)</f>
        <v>0</v>
      </c>
      <c r="P181" s="209">
        <f>IF('信用保険料計算書（上限2000万）'!$Q$15="",0,IF($B181&lt;'信用保険料計算書（上限2000万）'!$Q$15,0,IF($B181&gt;'信用保険料計算書（上限2000万）'!$Q$16,0,1)))</f>
        <v>0</v>
      </c>
      <c r="Q181" s="209">
        <f>IF(P181=1,HLOOKUP(C181,'計算書（第7回）'!$C$123:$U$124,2,TRUE),0)</f>
        <v>0</v>
      </c>
      <c r="R181" s="212"/>
      <c r="S181" s="211">
        <f>COUNTIF($AB$13:$AB$19,"&lt;=2026/2/1")</f>
        <v>2</v>
      </c>
      <c r="T181" s="178">
        <f t="shared" si="17"/>
        <v>44743</v>
      </c>
      <c r="U181" s="181">
        <f t="shared" si="14"/>
        <v>11854459</v>
      </c>
      <c r="V181" s="182">
        <f t="shared" si="19"/>
        <v>11854459</v>
      </c>
      <c r="W181" s="245">
        <f t="shared" si="18"/>
        <v>4741.78</v>
      </c>
      <c r="X181" s="182"/>
    </row>
    <row r="182" spans="2:24">
      <c r="B182" s="214">
        <f t="shared" si="16"/>
        <v>46082</v>
      </c>
      <c r="C182" s="198">
        <f t="shared" si="13"/>
        <v>46054</v>
      </c>
      <c r="D182" s="209">
        <f>IF(B182&lt;'信用保険料計算書（上限2000万）'!$E$15,0,IF(B182&gt;'信用保険料計算書（上限2000万）'!$E$16,0,1))</f>
        <v>1</v>
      </c>
      <c r="E182" s="209">
        <f>IF(D182=1,HLOOKUP(C182,'計算書（第1回）'!$C$123:$U$124,2,TRUE),0)</f>
        <v>68750</v>
      </c>
      <c r="F182" s="209">
        <f>IF('信用保険料計算書（上限2000万）'!$G$15="",0,IF($B182&lt;'信用保険料計算書（上限2000万）'!$G$15,0,IF($B182&gt;'信用保険料計算書（上限2000万）'!$G$16,0,1)))</f>
        <v>1</v>
      </c>
      <c r="G182" s="209">
        <f>IF(F182=1,HLOOKUP(C182,'計算書（第2回）'!$C$123:$U$124,2,TRUE),0)</f>
        <v>11785709</v>
      </c>
      <c r="H182" s="209">
        <f>IF('信用保険料計算書（上限2000万）'!$I$15="",0,IF($B182&lt;'信用保険料計算書（上限2000万）'!$I$15,0,IF($B182&gt;'信用保険料計算書（上限2000万）'!$I$16,0,1)))</f>
        <v>0</v>
      </c>
      <c r="I182" s="209">
        <f>IF(H182=1,HLOOKUP(C182,'計算書（第3回）'!$C$123:$U$124,2,TRUE),0)</f>
        <v>0</v>
      </c>
      <c r="J182" s="209">
        <f>IF('信用保険料計算書（上限2000万）'!$K$15="",0,IF($B182&lt;'信用保険料計算書（上限2000万）'!$K$15,0,IF($B182&gt;'信用保険料計算書（上限2000万）'!$K$16,0,1)))</f>
        <v>0</v>
      </c>
      <c r="K182" s="209">
        <f>IF(J182=1,HLOOKUP(C182,'計算書（第4回）'!$C$123:$U$124,2,TRUE),0)</f>
        <v>0</v>
      </c>
      <c r="L182" s="209">
        <f>IF('信用保険料計算書（上限2000万）'!$M$15="",0,IF($B182&lt;'信用保険料計算書（上限2000万）'!$M$15,0,IF($B182&gt;'信用保険料計算書（上限2000万）'!$M$16,0,1)))</f>
        <v>0</v>
      </c>
      <c r="M182" s="209">
        <f>IF(L182=1,HLOOKUP(C182,'計算書（第5回）'!$C$123:$U$124,2,TRUE),0)</f>
        <v>0</v>
      </c>
      <c r="N182" s="209">
        <f>IF('信用保険料計算書（上限2000万）'!$O$15="",0,IF($B182&lt;'信用保険料計算書（上限2000万）'!$O$15,0,IF($B182&gt;'信用保険料計算書（上限2000万）'!$O$16,0,1)))</f>
        <v>0</v>
      </c>
      <c r="O182" s="209">
        <f>IF(N182=1,HLOOKUP(C182,'計算書（第6回）'!$C$123:$U$124,2,TRUE),0)</f>
        <v>0</v>
      </c>
      <c r="P182" s="209">
        <f>IF('信用保険料計算書（上限2000万）'!$Q$15="",0,IF($B182&lt;'信用保険料計算書（上限2000万）'!$Q$15,0,IF($B182&gt;'信用保険料計算書（上限2000万）'!$Q$16,0,1)))</f>
        <v>0</v>
      </c>
      <c r="Q182" s="209">
        <f>IF(P182=1,HLOOKUP(C182,'計算書（第7回）'!$C$123:$U$124,2,TRUE),0)</f>
        <v>0</v>
      </c>
      <c r="R182" s="212"/>
      <c r="S182" s="211">
        <f>COUNTIF($AB$13:$AB$19,"&lt;=2026/3/1")</f>
        <v>2</v>
      </c>
      <c r="T182" s="178">
        <f t="shared" si="17"/>
        <v>44743</v>
      </c>
      <c r="U182" s="181">
        <f t="shared" si="14"/>
        <v>11854459</v>
      </c>
      <c r="V182" s="182">
        <f t="shared" si="19"/>
        <v>11854459</v>
      </c>
      <c r="W182" s="245">
        <f t="shared" si="18"/>
        <v>4741.78</v>
      </c>
      <c r="X182" s="183">
        <f>INT(SUM(W177:W182))</f>
        <v>28450</v>
      </c>
    </row>
    <row r="183" spans="2:24">
      <c r="B183" s="214">
        <f t="shared" si="16"/>
        <v>46113</v>
      </c>
      <c r="C183" s="198">
        <f t="shared" si="13"/>
        <v>46082</v>
      </c>
      <c r="D183" s="209">
        <f>IF(B183&lt;'信用保険料計算書（上限2000万）'!$E$15,0,IF(B183&gt;'信用保険料計算書（上限2000万）'!$E$16,0,1))</f>
        <v>0</v>
      </c>
      <c r="E183" s="209">
        <f>IF(D183=1,HLOOKUP(C183,'計算書（第1回）'!$C$123:$U$124,2,TRUE),0)</f>
        <v>0</v>
      </c>
      <c r="F183" s="209">
        <f>IF('信用保険料計算書（上限2000万）'!$G$15="",0,IF($B183&lt;'信用保険料計算書（上限2000万）'!$G$15,0,IF($B183&gt;'信用保険料計算書（上限2000万）'!$G$16,0,1)))</f>
        <v>1</v>
      </c>
      <c r="G183" s="209">
        <f>IF(F183=1,HLOOKUP(C183,'計算書（第2回）'!$C$123:$U$124,2,TRUE),0)</f>
        <v>10214281</v>
      </c>
      <c r="H183" s="209">
        <f>IF('信用保険料計算書（上限2000万）'!$I$15="",0,IF($B183&lt;'信用保険料計算書（上限2000万）'!$I$15,0,IF($B183&gt;'信用保険料計算書（上限2000万）'!$I$16,0,1)))</f>
        <v>0</v>
      </c>
      <c r="I183" s="209">
        <f>IF(H183=1,HLOOKUP(C183,'計算書（第3回）'!$C$123:$U$124,2,TRUE),0)</f>
        <v>0</v>
      </c>
      <c r="J183" s="209">
        <f>IF('信用保険料計算書（上限2000万）'!$K$15="",0,IF($B183&lt;'信用保険料計算書（上限2000万）'!$K$15,0,IF($B183&gt;'信用保険料計算書（上限2000万）'!$K$16,0,1)))</f>
        <v>0</v>
      </c>
      <c r="K183" s="209">
        <f>IF(J183=1,HLOOKUP(C183,'計算書（第4回）'!$C$123:$U$124,2,TRUE),0)</f>
        <v>0</v>
      </c>
      <c r="L183" s="209">
        <f>IF('信用保険料計算書（上限2000万）'!$M$15="",0,IF($B183&lt;'信用保険料計算書（上限2000万）'!$M$15,0,IF($B183&gt;'信用保険料計算書（上限2000万）'!$M$16,0,1)))</f>
        <v>0</v>
      </c>
      <c r="M183" s="209">
        <f>IF(L183=1,HLOOKUP(C183,'計算書（第5回）'!$C$123:$U$124,2,TRUE),0)</f>
        <v>0</v>
      </c>
      <c r="N183" s="209">
        <f>IF('信用保険料計算書（上限2000万）'!$O$15="",0,IF($B183&lt;'信用保険料計算書（上限2000万）'!$O$15,0,IF($B183&gt;'信用保険料計算書（上限2000万）'!$O$16,0,1)))</f>
        <v>0</v>
      </c>
      <c r="O183" s="209">
        <f>IF(N183=1,HLOOKUP(C183,'計算書（第6回）'!$C$123:$U$124,2,TRUE),0)</f>
        <v>0</v>
      </c>
      <c r="P183" s="209">
        <f>IF('信用保険料計算書（上限2000万）'!$Q$15="",0,IF($B183&lt;'信用保険料計算書（上限2000万）'!$Q$15,0,IF($B183&gt;'信用保険料計算書（上限2000万）'!$Q$16,0,1)))</f>
        <v>0</v>
      </c>
      <c r="Q183" s="209">
        <f>IF(P183=1,HLOOKUP(C183,'計算書（第7回）'!$C$123:$U$124,2,TRUE),0)</f>
        <v>0</v>
      </c>
      <c r="R183" s="212"/>
      <c r="S183" s="211">
        <f>COUNTIF($AB$13:$AB$19,"&lt;=2026/4/1")</f>
        <v>2</v>
      </c>
      <c r="T183" s="178">
        <f t="shared" si="17"/>
        <v>44743</v>
      </c>
      <c r="U183" s="181">
        <f t="shared" si="14"/>
        <v>10214281</v>
      </c>
      <c r="V183" s="182">
        <f t="shared" si="19"/>
        <v>10214281</v>
      </c>
      <c r="W183" s="245">
        <f t="shared" si="18"/>
        <v>4085.71</v>
      </c>
      <c r="X183" s="182"/>
    </row>
    <row r="184" spans="2:24">
      <c r="B184" s="214">
        <f t="shared" si="16"/>
        <v>46143</v>
      </c>
      <c r="C184" s="198">
        <f t="shared" si="13"/>
        <v>46113</v>
      </c>
      <c r="D184" s="209">
        <f>IF(B184&lt;'信用保険料計算書（上限2000万）'!$E$15,0,IF(B184&gt;'信用保険料計算書（上限2000万）'!$E$16,0,1))</f>
        <v>0</v>
      </c>
      <c r="E184" s="209">
        <f>IF(D184=1,HLOOKUP(C184,'計算書（第1回）'!$C$123:$U$124,2,TRUE),0)</f>
        <v>0</v>
      </c>
      <c r="F184" s="209">
        <f>IF('信用保険料計算書（上限2000万）'!$G$15="",0,IF($B184&lt;'信用保険料計算書（上限2000万）'!$G$15,0,IF($B184&gt;'信用保険料計算書（上限2000万）'!$G$16,0,1)))</f>
        <v>1</v>
      </c>
      <c r="G184" s="209">
        <f>IF(F184=1,HLOOKUP(C184,'計算書（第2回）'!$C$123:$U$124,2,TRUE),0)</f>
        <v>10214281</v>
      </c>
      <c r="H184" s="209">
        <f>IF('信用保険料計算書（上限2000万）'!$I$15="",0,IF($B184&lt;'信用保険料計算書（上限2000万）'!$I$15,0,IF($B184&gt;'信用保険料計算書（上限2000万）'!$I$16,0,1)))</f>
        <v>0</v>
      </c>
      <c r="I184" s="209">
        <f>IF(H184=1,HLOOKUP(C184,'計算書（第3回）'!$C$123:$U$124,2,TRUE),0)</f>
        <v>0</v>
      </c>
      <c r="J184" s="209">
        <f>IF('信用保険料計算書（上限2000万）'!$K$15="",0,IF($B184&lt;'信用保険料計算書（上限2000万）'!$K$15,0,IF($B184&gt;'信用保険料計算書（上限2000万）'!$K$16,0,1)))</f>
        <v>0</v>
      </c>
      <c r="K184" s="209">
        <f>IF(J184=1,HLOOKUP(C184,'計算書（第4回）'!$C$123:$U$124,2,TRUE),0)</f>
        <v>0</v>
      </c>
      <c r="L184" s="209">
        <f>IF('信用保険料計算書（上限2000万）'!$M$15="",0,IF($B184&lt;'信用保険料計算書（上限2000万）'!$M$15,0,IF($B184&gt;'信用保険料計算書（上限2000万）'!$M$16,0,1)))</f>
        <v>0</v>
      </c>
      <c r="M184" s="209">
        <f>IF(L184=1,HLOOKUP(C184,'計算書（第5回）'!$C$123:$U$124,2,TRUE),0)</f>
        <v>0</v>
      </c>
      <c r="N184" s="209">
        <f>IF('信用保険料計算書（上限2000万）'!$O$15="",0,IF($B184&lt;'信用保険料計算書（上限2000万）'!$O$15,0,IF($B184&gt;'信用保険料計算書（上限2000万）'!$O$16,0,1)))</f>
        <v>0</v>
      </c>
      <c r="O184" s="209">
        <f>IF(N184=1,HLOOKUP(C184,'計算書（第6回）'!$C$123:$U$124,2,TRUE),0)</f>
        <v>0</v>
      </c>
      <c r="P184" s="209">
        <f>IF('信用保険料計算書（上限2000万）'!$Q$15="",0,IF($B184&lt;'信用保険料計算書（上限2000万）'!$Q$15,0,IF($B184&gt;'信用保険料計算書（上限2000万）'!$Q$16,0,1)))</f>
        <v>0</v>
      </c>
      <c r="Q184" s="209">
        <f>IF(P184=1,HLOOKUP(C184,'計算書（第7回）'!$C$123:$U$124,2,TRUE),0)</f>
        <v>0</v>
      </c>
      <c r="R184" s="212"/>
      <c r="S184" s="211">
        <f>COUNTIF($AB$13:$AB$19,"&lt;=2026/5/1")</f>
        <v>2</v>
      </c>
      <c r="T184" s="178">
        <f t="shared" si="17"/>
        <v>44743</v>
      </c>
      <c r="U184" s="181">
        <f t="shared" si="14"/>
        <v>10214281</v>
      </c>
      <c r="V184" s="182">
        <f t="shared" si="19"/>
        <v>10214281</v>
      </c>
      <c r="W184" s="245">
        <f t="shared" si="18"/>
        <v>4085.71</v>
      </c>
      <c r="X184" s="182"/>
    </row>
    <row r="185" spans="2:24">
      <c r="B185" s="214">
        <f t="shared" si="16"/>
        <v>46174</v>
      </c>
      <c r="C185" s="198">
        <f t="shared" si="13"/>
        <v>46143</v>
      </c>
      <c r="D185" s="209">
        <f>IF(B185&lt;'信用保険料計算書（上限2000万）'!$E$15,0,IF(B185&gt;'信用保険料計算書（上限2000万）'!$E$16,0,1))</f>
        <v>0</v>
      </c>
      <c r="E185" s="209">
        <f>IF(D185=1,HLOOKUP(C185,'計算書（第1回）'!$C$123:$U$124,2,TRUE),0)</f>
        <v>0</v>
      </c>
      <c r="F185" s="209">
        <f>IF('信用保険料計算書（上限2000万）'!$G$15="",0,IF($B185&lt;'信用保険料計算書（上限2000万）'!$G$15,0,IF($B185&gt;'信用保険料計算書（上限2000万）'!$G$16,0,1)))</f>
        <v>1</v>
      </c>
      <c r="G185" s="209">
        <f>IF(F185=1,HLOOKUP(C185,'計算書（第2回）'!$C$123:$U$124,2,TRUE),0)</f>
        <v>10214281</v>
      </c>
      <c r="H185" s="209">
        <f>IF('信用保険料計算書（上限2000万）'!$I$15="",0,IF($B185&lt;'信用保険料計算書（上限2000万）'!$I$15,0,IF($B185&gt;'信用保険料計算書（上限2000万）'!$I$16,0,1)))</f>
        <v>0</v>
      </c>
      <c r="I185" s="209">
        <f>IF(H185=1,HLOOKUP(C185,'計算書（第3回）'!$C$123:$U$124,2,TRUE),0)</f>
        <v>0</v>
      </c>
      <c r="J185" s="209">
        <f>IF('信用保険料計算書（上限2000万）'!$K$15="",0,IF($B185&lt;'信用保険料計算書（上限2000万）'!$K$15,0,IF($B185&gt;'信用保険料計算書（上限2000万）'!$K$16,0,1)))</f>
        <v>0</v>
      </c>
      <c r="K185" s="209">
        <f>IF(J185=1,HLOOKUP(C185,'計算書（第4回）'!$C$123:$U$124,2,TRUE),0)</f>
        <v>0</v>
      </c>
      <c r="L185" s="209">
        <f>IF('信用保険料計算書（上限2000万）'!$M$15="",0,IF($B185&lt;'信用保険料計算書（上限2000万）'!$M$15,0,IF($B185&gt;'信用保険料計算書（上限2000万）'!$M$16,0,1)))</f>
        <v>0</v>
      </c>
      <c r="M185" s="209">
        <f>IF(L185=1,HLOOKUP(C185,'計算書（第5回）'!$C$123:$U$124,2,TRUE),0)</f>
        <v>0</v>
      </c>
      <c r="N185" s="209">
        <f>IF('信用保険料計算書（上限2000万）'!$O$15="",0,IF($B185&lt;'信用保険料計算書（上限2000万）'!$O$15,0,IF($B185&gt;'信用保険料計算書（上限2000万）'!$O$16,0,1)))</f>
        <v>0</v>
      </c>
      <c r="O185" s="209">
        <f>IF(N185=1,HLOOKUP(C185,'計算書（第6回）'!$C$123:$U$124,2,TRUE),0)</f>
        <v>0</v>
      </c>
      <c r="P185" s="209">
        <f>IF('信用保険料計算書（上限2000万）'!$Q$15="",0,IF($B185&lt;'信用保険料計算書（上限2000万）'!$Q$15,0,IF($B185&gt;'信用保険料計算書（上限2000万）'!$Q$16,0,1)))</f>
        <v>0</v>
      </c>
      <c r="Q185" s="209">
        <f>IF(P185=1,HLOOKUP(C185,'計算書（第7回）'!$C$123:$U$124,2,TRUE),0)</f>
        <v>0</v>
      </c>
      <c r="R185" s="212"/>
      <c r="S185" s="211">
        <f>COUNTIF($AB$13:$AB$19,"&lt;=2026/6/1")</f>
        <v>2</v>
      </c>
      <c r="T185" s="178">
        <f t="shared" si="17"/>
        <v>44743</v>
      </c>
      <c r="U185" s="181">
        <f t="shared" si="14"/>
        <v>10214281</v>
      </c>
      <c r="V185" s="182">
        <f t="shared" si="19"/>
        <v>10214281</v>
      </c>
      <c r="W185" s="245">
        <f t="shared" si="18"/>
        <v>4085.71</v>
      </c>
      <c r="X185" s="182"/>
    </row>
    <row r="186" spans="2:24">
      <c r="B186" s="214">
        <f t="shared" si="16"/>
        <v>46204</v>
      </c>
      <c r="C186" s="198">
        <f t="shared" si="13"/>
        <v>46174</v>
      </c>
      <c r="D186" s="209">
        <f>IF(B186&lt;'信用保険料計算書（上限2000万）'!$E$15,0,IF(B186&gt;'信用保険料計算書（上限2000万）'!$E$16,0,1))</f>
        <v>0</v>
      </c>
      <c r="E186" s="209">
        <f>IF(D186=1,HLOOKUP(C186,'計算書（第1回）'!$C$123:$U$124,2,TRUE),0)</f>
        <v>0</v>
      </c>
      <c r="F186" s="209">
        <f>IF('信用保険料計算書（上限2000万）'!$G$15="",0,IF($B186&lt;'信用保険料計算書（上限2000万）'!$G$15,0,IF($B186&gt;'信用保険料計算書（上限2000万）'!$G$16,0,1)))</f>
        <v>1</v>
      </c>
      <c r="G186" s="209">
        <f>IF(F186=1,HLOOKUP(C186,'計算書（第2回）'!$C$123:$U$124,2,TRUE),0)</f>
        <v>10214281</v>
      </c>
      <c r="H186" s="209">
        <f>IF('信用保険料計算書（上限2000万）'!$I$15="",0,IF($B186&lt;'信用保険料計算書（上限2000万）'!$I$15,0,IF($B186&gt;'信用保険料計算書（上限2000万）'!$I$16,0,1)))</f>
        <v>0</v>
      </c>
      <c r="I186" s="209">
        <f>IF(H186=1,HLOOKUP(C186,'計算書（第3回）'!$C$123:$U$124,2,TRUE),0)</f>
        <v>0</v>
      </c>
      <c r="J186" s="209">
        <f>IF('信用保険料計算書（上限2000万）'!$K$15="",0,IF($B186&lt;'信用保険料計算書（上限2000万）'!$K$15,0,IF($B186&gt;'信用保険料計算書（上限2000万）'!$K$16,0,1)))</f>
        <v>0</v>
      </c>
      <c r="K186" s="209">
        <f>IF(J186=1,HLOOKUP(C186,'計算書（第4回）'!$C$123:$U$124,2,TRUE),0)</f>
        <v>0</v>
      </c>
      <c r="L186" s="209">
        <f>IF('信用保険料計算書（上限2000万）'!$M$15="",0,IF($B186&lt;'信用保険料計算書（上限2000万）'!$M$15,0,IF($B186&gt;'信用保険料計算書（上限2000万）'!$M$16,0,1)))</f>
        <v>0</v>
      </c>
      <c r="M186" s="209">
        <f>IF(L186=1,HLOOKUP(C186,'計算書（第5回）'!$C$123:$U$124,2,TRUE),0)</f>
        <v>0</v>
      </c>
      <c r="N186" s="209">
        <f>IF('信用保険料計算書（上限2000万）'!$O$15="",0,IF($B186&lt;'信用保険料計算書（上限2000万）'!$O$15,0,IF($B186&gt;'信用保険料計算書（上限2000万）'!$O$16,0,1)))</f>
        <v>0</v>
      </c>
      <c r="O186" s="209">
        <f>IF(N186=1,HLOOKUP(C186,'計算書（第6回）'!$C$123:$U$124,2,TRUE),0)</f>
        <v>0</v>
      </c>
      <c r="P186" s="209">
        <f>IF('信用保険料計算書（上限2000万）'!$Q$15="",0,IF($B186&lt;'信用保険料計算書（上限2000万）'!$Q$15,0,IF($B186&gt;'信用保険料計算書（上限2000万）'!$Q$16,0,1)))</f>
        <v>0</v>
      </c>
      <c r="Q186" s="209">
        <f>IF(P186=1,HLOOKUP(C186,'計算書（第7回）'!$C$123:$U$124,2,TRUE),0)</f>
        <v>0</v>
      </c>
      <c r="R186" s="212"/>
      <c r="S186" s="211">
        <f>COUNTIF($AB$13:$AB$19,"&lt;=2026/7/1")</f>
        <v>2</v>
      </c>
      <c r="T186" s="178">
        <f t="shared" si="17"/>
        <v>44743</v>
      </c>
      <c r="U186" s="181">
        <f t="shared" si="14"/>
        <v>10214281</v>
      </c>
      <c r="V186" s="182">
        <f t="shared" si="19"/>
        <v>10214281</v>
      </c>
      <c r="W186" s="245">
        <f t="shared" si="18"/>
        <v>4085.71</v>
      </c>
      <c r="X186" s="182"/>
    </row>
    <row r="187" spans="2:24">
      <c r="B187" s="214">
        <f t="shared" si="16"/>
        <v>46235</v>
      </c>
      <c r="C187" s="198">
        <f t="shared" si="13"/>
        <v>46204</v>
      </c>
      <c r="D187" s="209">
        <f>IF(B187&lt;'信用保険料計算書（上限2000万）'!$E$15,0,IF(B187&gt;'信用保険料計算書（上限2000万）'!$E$16,0,1))</f>
        <v>0</v>
      </c>
      <c r="E187" s="209">
        <f>IF(D187=1,HLOOKUP(C187,'計算書（第1回）'!$C$123:$U$124,2,TRUE),0)</f>
        <v>0</v>
      </c>
      <c r="F187" s="209">
        <f>IF('信用保険料計算書（上限2000万）'!$G$15="",0,IF($B187&lt;'信用保険料計算書（上限2000万）'!$G$15,0,IF($B187&gt;'信用保険料計算書（上限2000万）'!$G$16,0,1)))</f>
        <v>1</v>
      </c>
      <c r="G187" s="209">
        <f>IF(F187=1,HLOOKUP(C187,'計算書（第2回）'!$C$123:$U$124,2,TRUE),0)</f>
        <v>10214281</v>
      </c>
      <c r="H187" s="209">
        <f>IF('信用保険料計算書（上限2000万）'!$I$15="",0,IF($B187&lt;'信用保険料計算書（上限2000万）'!$I$15,0,IF($B187&gt;'信用保険料計算書（上限2000万）'!$I$16,0,1)))</f>
        <v>0</v>
      </c>
      <c r="I187" s="209">
        <f>IF(H187=1,HLOOKUP(C187,'計算書（第3回）'!$C$123:$U$124,2,TRUE),0)</f>
        <v>0</v>
      </c>
      <c r="J187" s="209">
        <f>IF('信用保険料計算書（上限2000万）'!$K$15="",0,IF($B187&lt;'信用保険料計算書（上限2000万）'!$K$15,0,IF($B187&gt;'信用保険料計算書（上限2000万）'!$K$16,0,1)))</f>
        <v>0</v>
      </c>
      <c r="K187" s="209">
        <f>IF(J187=1,HLOOKUP(C187,'計算書（第4回）'!$C$123:$U$124,2,TRUE),0)</f>
        <v>0</v>
      </c>
      <c r="L187" s="209">
        <f>IF('信用保険料計算書（上限2000万）'!$M$15="",0,IF($B187&lt;'信用保険料計算書（上限2000万）'!$M$15,0,IF($B187&gt;'信用保険料計算書（上限2000万）'!$M$16,0,1)))</f>
        <v>0</v>
      </c>
      <c r="M187" s="209">
        <f>IF(L187=1,HLOOKUP(C187,'計算書（第5回）'!$C$123:$U$124,2,TRUE),0)</f>
        <v>0</v>
      </c>
      <c r="N187" s="209">
        <f>IF('信用保険料計算書（上限2000万）'!$O$15="",0,IF($B187&lt;'信用保険料計算書（上限2000万）'!$O$15,0,IF($B187&gt;'信用保険料計算書（上限2000万）'!$O$16,0,1)))</f>
        <v>0</v>
      </c>
      <c r="O187" s="209">
        <f>IF(N187=1,HLOOKUP(C187,'計算書（第6回）'!$C$123:$U$124,2,TRUE),0)</f>
        <v>0</v>
      </c>
      <c r="P187" s="209">
        <f>IF('信用保険料計算書（上限2000万）'!$Q$15="",0,IF($B187&lt;'信用保険料計算書（上限2000万）'!$Q$15,0,IF($B187&gt;'信用保険料計算書（上限2000万）'!$Q$16,0,1)))</f>
        <v>0</v>
      </c>
      <c r="Q187" s="209">
        <f>IF(P187=1,HLOOKUP(C187,'計算書（第7回）'!$C$123:$U$124,2,TRUE),0)</f>
        <v>0</v>
      </c>
      <c r="R187" s="212"/>
      <c r="S187" s="211">
        <f>COUNTIF($AB$13:$AB$19,"&lt;=2026/8/1")</f>
        <v>2</v>
      </c>
      <c r="T187" s="178">
        <f t="shared" si="17"/>
        <v>44743</v>
      </c>
      <c r="U187" s="181">
        <f t="shared" si="14"/>
        <v>10214281</v>
      </c>
      <c r="V187" s="182">
        <f t="shared" si="19"/>
        <v>10214281</v>
      </c>
      <c r="W187" s="245">
        <f t="shared" si="18"/>
        <v>4085.71</v>
      </c>
      <c r="X187" s="182"/>
    </row>
    <row r="188" spans="2:24">
      <c r="B188" s="214">
        <f t="shared" si="16"/>
        <v>46266</v>
      </c>
      <c r="C188" s="198">
        <f t="shared" si="13"/>
        <v>46235</v>
      </c>
      <c r="D188" s="209">
        <f>IF(B188&lt;'信用保険料計算書（上限2000万）'!$E$15,0,IF(B188&gt;'信用保険料計算書（上限2000万）'!$E$16,0,1))</f>
        <v>0</v>
      </c>
      <c r="E188" s="209">
        <f>IF(D188=1,HLOOKUP(C188,'計算書（第1回）'!$C$123:$U$124,2,TRUE),0)</f>
        <v>0</v>
      </c>
      <c r="F188" s="209">
        <f>IF('信用保険料計算書（上限2000万）'!$G$15="",0,IF($B188&lt;'信用保険料計算書（上限2000万）'!$G$15,0,IF($B188&gt;'信用保険料計算書（上限2000万）'!$G$16,0,1)))</f>
        <v>1</v>
      </c>
      <c r="G188" s="209">
        <f>IF(F188=1,HLOOKUP(C188,'計算書（第2回）'!$C$123:$U$124,2,TRUE),0)</f>
        <v>10214281</v>
      </c>
      <c r="H188" s="209">
        <f>IF('信用保険料計算書（上限2000万）'!$I$15="",0,IF($B188&lt;'信用保険料計算書（上限2000万）'!$I$15,0,IF($B188&gt;'信用保険料計算書（上限2000万）'!$I$16,0,1)))</f>
        <v>0</v>
      </c>
      <c r="I188" s="209">
        <f>IF(H188=1,HLOOKUP(C188,'計算書（第3回）'!$C$123:$U$124,2,TRUE),0)</f>
        <v>0</v>
      </c>
      <c r="J188" s="209">
        <f>IF('信用保険料計算書（上限2000万）'!$K$15="",0,IF($B188&lt;'信用保険料計算書（上限2000万）'!$K$15,0,IF($B188&gt;'信用保険料計算書（上限2000万）'!$K$16,0,1)))</f>
        <v>0</v>
      </c>
      <c r="K188" s="209">
        <f>IF(J188=1,HLOOKUP(C188,'計算書（第4回）'!$C$123:$U$124,2,TRUE),0)</f>
        <v>0</v>
      </c>
      <c r="L188" s="209">
        <f>IF('信用保険料計算書（上限2000万）'!$M$15="",0,IF($B188&lt;'信用保険料計算書（上限2000万）'!$M$15,0,IF($B188&gt;'信用保険料計算書（上限2000万）'!$M$16,0,1)))</f>
        <v>0</v>
      </c>
      <c r="M188" s="209">
        <f>IF(L188=1,HLOOKUP(C188,'計算書（第5回）'!$C$123:$U$124,2,TRUE),0)</f>
        <v>0</v>
      </c>
      <c r="N188" s="209">
        <f>IF('信用保険料計算書（上限2000万）'!$O$15="",0,IF($B188&lt;'信用保険料計算書（上限2000万）'!$O$15,0,IF($B188&gt;'信用保険料計算書（上限2000万）'!$O$16,0,1)))</f>
        <v>0</v>
      </c>
      <c r="O188" s="209">
        <f>IF(N188=1,HLOOKUP(C188,'計算書（第6回）'!$C$123:$U$124,2,TRUE),0)</f>
        <v>0</v>
      </c>
      <c r="P188" s="209">
        <f>IF('信用保険料計算書（上限2000万）'!$Q$15="",0,IF($B188&lt;'信用保険料計算書（上限2000万）'!$Q$15,0,IF($B188&gt;'信用保険料計算書（上限2000万）'!$Q$16,0,1)))</f>
        <v>0</v>
      </c>
      <c r="Q188" s="209">
        <f>IF(P188=1,HLOOKUP(C188,'計算書（第7回）'!$C$123:$U$124,2,TRUE),0)</f>
        <v>0</v>
      </c>
      <c r="R188" s="212"/>
      <c r="S188" s="211">
        <f>COUNTIF($AB$13:$AB$19,"&lt;=2026/9/1")</f>
        <v>2</v>
      </c>
      <c r="T188" s="178">
        <f t="shared" si="17"/>
        <v>44743</v>
      </c>
      <c r="U188" s="181">
        <f t="shared" si="14"/>
        <v>10214281</v>
      </c>
      <c r="V188" s="182">
        <f t="shared" si="19"/>
        <v>10214281</v>
      </c>
      <c r="W188" s="245">
        <f t="shared" si="18"/>
        <v>4085.71</v>
      </c>
      <c r="X188" s="183">
        <f>INT(SUM(W183:W188))</f>
        <v>24514</v>
      </c>
    </row>
    <row r="189" spans="2:24">
      <c r="B189" s="214">
        <f t="shared" si="16"/>
        <v>46296</v>
      </c>
      <c r="C189" s="198">
        <f t="shared" si="13"/>
        <v>46266</v>
      </c>
      <c r="D189" s="209">
        <f>IF(B189&lt;'信用保険料計算書（上限2000万）'!$E$15,0,IF(B189&gt;'信用保険料計算書（上限2000万）'!$E$16,0,1))</f>
        <v>0</v>
      </c>
      <c r="E189" s="209">
        <f>IF(D189=1,HLOOKUP(C189,'計算書（第1回）'!$C$123:$U$124,2,TRUE),0)</f>
        <v>0</v>
      </c>
      <c r="F189" s="209">
        <f>IF('信用保険料計算書（上限2000万）'!$G$15="",0,IF($B189&lt;'信用保険料計算書（上限2000万）'!$G$15,0,IF($B189&gt;'信用保険料計算書（上限2000万）'!$G$16,0,1)))</f>
        <v>1</v>
      </c>
      <c r="G189" s="209">
        <f>IF(F189=1,HLOOKUP(C189,'計算書（第2回）'!$C$123:$U$124,2,TRUE),0)</f>
        <v>8642853</v>
      </c>
      <c r="H189" s="209">
        <f>IF('信用保険料計算書（上限2000万）'!$I$15="",0,IF($B189&lt;'信用保険料計算書（上限2000万）'!$I$15,0,IF($B189&gt;'信用保険料計算書（上限2000万）'!$I$16,0,1)))</f>
        <v>0</v>
      </c>
      <c r="I189" s="209">
        <f>IF(H189=1,HLOOKUP(C189,'計算書（第3回）'!$C$123:$U$124,2,TRUE),0)</f>
        <v>0</v>
      </c>
      <c r="J189" s="209">
        <f>IF('信用保険料計算書（上限2000万）'!$K$15="",0,IF($B189&lt;'信用保険料計算書（上限2000万）'!$K$15,0,IF($B189&gt;'信用保険料計算書（上限2000万）'!$K$16,0,1)))</f>
        <v>0</v>
      </c>
      <c r="K189" s="209">
        <f>IF(J189=1,HLOOKUP(C189,'計算書（第4回）'!$C$123:$U$124,2,TRUE),0)</f>
        <v>0</v>
      </c>
      <c r="L189" s="209">
        <f>IF('信用保険料計算書（上限2000万）'!$M$15="",0,IF($B189&lt;'信用保険料計算書（上限2000万）'!$M$15,0,IF($B189&gt;'信用保険料計算書（上限2000万）'!$M$16,0,1)))</f>
        <v>0</v>
      </c>
      <c r="M189" s="209">
        <f>IF(L189=1,HLOOKUP(C189,'計算書（第5回）'!$C$123:$U$124,2,TRUE),0)</f>
        <v>0</v>
      </c>
      <c r="N189" s="209">
        <f>IF('信用保険料計算書（上限2000万）'!$O$15="",0,IF($B189&lt;'信用保険料計算書（上限2000万）'!$O$15,0,IF($B189&gt;'信用保険料計算書（上限2000万）'!$O$16,0,1)))</f>
        <v>0</v>
      </c>
      <c r="O189" s="209">
        <f>IF(N189=1,HLOOKUP(C189,'計算書（第6回）'!$C$123:$U$124,2,TRUE),0)</f>
        <v>0</v>
      </c>
      <c r="P189" s="209">
        <f>IF('信用保険料計算書（上限2000万）'!$Q$15="",0,IF($B189&lt;'信用保険料計算書（上限2000万）'!$Q$15,0,IF($B189&gt;'信用保険料計算書（上限2000万）'!$Q$16,0,1)))</f>
        <v>0</v>
      </c>
      <c r="Q189" s="209">
        <f>IF(P189=1,HLOOKUP(C189,'計算書（第7回）'!$C$123:$U$124,2,TRUE),0)</f>
        <v>0</v>
      </c>
      <c r="R189" s="212"/>
      <c r="S189" s="211">
        <f>COUNTIF($AB$13:$AB$19,"&lt;=2026/10/1")</f>
        <v>2</v>
      </c>
      <c r="T189" s="178">
        <f t="shared" si="17"/>
        <v>44743</v>
      </c>
      <c r="U189" s="181">
        <f t="shared" si="14"/>
        <v>8642853</v>
      </c>
      <c r="V189" s="182">
        <f t="shared" si="19"/>
        <v>8642853</v>
      </c>
      <c r="W189" s="245">
        <f t="shared" si="18"/>
        <v>3457.14</v>
      </c>
      <c r="X189" s="182"/>
    </row>
    <row r="190" spans="2:24">
      <c r="B190" s="214">
        <f t="shared" si="16"/>
        <v>46327</v>
      </c>
      <c r="C190" s="198">
        <f t="shared" si="13"/>
        <v>46296</v>
      </c>
      <c r="D190" s="209">
        <f>IF(B190&lt;'信用保険料計算書（上限2000万）'!$E$15,0,IF(B190&gt;'信用保険料計算書（上限2000万）'!$E$16,0,1))</f>
        <v>0</v>
      </c>
      <c r="E190" s="209">
        <f>IF(D190=1,HLOOKUP(C190,'計算書（第1回）'!$C$123:$U$124,2,TRUE),0)</f>
        <v>0</v>
      </c>
      <c r="F190" s="209">
        <f>IF('信用保険料計算書（上限2000万）'!$G$15="",0,IF($B190&lt;'信用保険料計算書（上限2000万）'!$G$15,0,IF($B190&gt;'信用保険料計算書（上限2000万）'!$G$16,0,1)))</f>
        <v>1</v>
      </c>
      <c r="G190" s="209">
        <f>IF(F190=1,HLOOKUP(C190,'計算書（第2回）'!$C$123:$U$124,2,TRUE),0)</f>
        <v>8642853</v>
      </c>
      <c r="H190" s="209">
        <f>IF('信用保険料計算書（上限2000万）'!$I$15="",0,IF($B190&lt;'信用保険料計算書（上限2000万）'!$I$15,0,IF($B190&gt;'信用保険料計算書（上限2000万）'!$I$16,0,1)))</f>
        <v>0</v>
      </c>
      <c r="I190" s="209">
        <f>IF(H190=1,HLOOKUP(C190,'計算書（第3回）'!$C$123:$U$124,2,TRUE),0)</f>
        <v>0</v>
      </c>
      <c r="J190" s="209">
        <f>IF('信用保険料計算書（上限2000万）'!$K$15="",0,IF($B190&lt;'信用保険料計算書（上限2000万）'!$K$15,0,IF($B190&gt;'信用保険料計算書（上限2000万）'!$K$16,0,1)))</f>
        <v>0</v>
      </c>
      <c r="K190" s="209">
        <f>IF(J190=1,HLOOKUP(C190,'計算書（第4回）'!$C$123:$U$124,2,TRUE),0)</f>
        <v>0</v>
      </c>
      <c r="L190" s="209">
        <f>IF('信用保険料計算書（上限2000万）'!$M$15="",0,IF($B190&lt;'信用保険料計算書（上限2000万）'!$M$15,0,IF($B190&gt;'信用保険料計算書（上限2000万）'!$M$16,0,1)))</f>
        <v>0</v>
      </c>
      <c r="M190" s="209">
        <f>IF(L190=1,HLOOKUP(C190,'計算書（第5回）'!$C$123:$U$124,2,TRUE),0)</f>
        <v>0</v>
      </c>
      <c r="N190" s="209">
        <f>IF('信用保険料計算書（上限2000万）'!$O$15="",0,IF($B190&lt;'信用保険料計算書（上限2000万）'!$O$15,0,IF($B190&gt;'信用保険料計算書（上限2000万）'!$O$16,0,1)))</f>
        <v>0</v>
      </c>
      <c r="O190" s="209">
        <f>IF(N190=1,HLOOKUP(C190,'計算書（第6回）'!$C$123:$U$124,2,TRUE),0)</f>
        <v>0</v>
      </c>
      <c r="P190" s="209">
        <f>IF('信用保険料計算書（上限2000万）'!$Q$15="",0,IF($B190&lt;'信用保険料計算書（上限2000万）'!$Q$15,0,IF($B190&gt;'信用保険料計算書（上限2000万）'!$Q$16,0,1)))</f>
        <v>0</v>
      </c>
      <c r="Q190" s="209">
        <f>IF(P190=1,HLOOKUP(C190,'計算書（第7回）'!$C$123:$U$124,2,TRUE),0)</f>
        <v>0</v>
      </c>
      <c r="R190" s="212"/>
      <c r="S190" s="211">
        <f>COUNTIF($AB$13:$AB$19,"&lt;=2026/11/1")</f>
        <v>2</v>
      </c>
      <c r="T190" s="178">
        <f t="shared" si="17"/>
        <v>44743</v>
      </c>
      <c r="U190" s="181">
        <f t="shared" si="14"/>
        <v>8642853</v>
      </c>
      <c r="V190" s="182">
        <f t="shared" si="19"/>
        <v>8642853</v>
      </c>
      <c r="W190" s="245">
        <f t="shared" si="18"/>
        <v>3457.14</v>
      </c>
      <c r="X190" s="182"/>
    </row>
    <row r="191" spans="2:24">
      <c r="B191" s="214">
        <f t="shared" si="16"/>
        <v>46357</v>
      </c>
      <c r="C191" s="198">
        <f t="shared" si="13"/>
        <v>46327</v>
      </c>
      <c r="D191" s="209">
        <f>IF(B191&lt;'信用保険料計算書（上限2000万）'!$E$15,0,IF(B191&gt;'信用保険料計算書（上限2000万）'!$E$16,0,1))</f>
        <v>0</v>
      </c>
      <c r="E191" s="209">
        <f>IF(D191=1,HLOOKUP(C191,'計算書（第1回）'!$C$123:$U$124,2,TRUE),0)</f>
        <v>0</v>
      </c>
      <c r="F191" s="209">
        <f>IF('信用保険料計算書（上限2000万）'!$G$15="",0,IF($B191&lt;'信用保険料計算書（上限2000万）'!$G$15,0,IF($B191&gt;'信用保険料計算書（上限2000万）'!$G$16,0,1)))</f>
        <v>1</v>
      </c>
      <c r="G191" s="209">
        <f>IF(F191=1,HLOOKUP(C191,'計算書（第2回）'!$C$123:$U$124,2,TRUE),0)</f>
        <v>8642853</v>
      </c>
      <c r="H191" s="209">
        <f>IF('信用保険料計算書（上限2000万）'!$I$15="",0,IF($B191&lt;'信用保険料計算書（上限2000万）'!$I$15,0,IF($B191&gt;'信用保険料計算書（上限2000万）'!$I$16,0,1)))</f>
        <v>0</v>
      </c>
      <c r="I191" s="209">
        <f>IF(H191=1,HLOOKUP(C191,'計算書（第3回）'!$C$123:$U$124,2,TRUE),0)</f>
        <v>0</v>
      </c>
      <c r="J191" s="209">
        <f>IF('信用保険料計算書（上限2000万）'!$K$15="",0,IF($B191&lt;'信用保険料計算書（上限2000万）'!$K$15,0,IF($B191&gt;'信用保険料計算書（上限2000万）'!$K$16,0,1)))</f>
        <v>0</v>
      </c>
      <c r="K191" s="209">
        <f>IF(J191=1,HLOOKUP(C191,'計算書（第4回）'!$C$123:$U$124,2,TRUE),0)</f>
        <v>0</v>
      </c>
      <c r="L191" s="209">
        <f>IF('信用保険料計算書（上限2000万）'!$M$15="",0,IF($B191&lt;'信用保険料計算書（上限2000万）'!$M$15,0,IF($B191&gt;'信用保険料計算書（上限2000万）'!$M$16,0,1)))</f>
        <v>0</v>
      </c>
      <c r="M191" s="209">
        <f>IF(L191=1,HLOOKUP(C191,'計算書（第5回）'!$C$123:$U$124,2,TRUE),0)</f>
        <v>0</v>
      </c>
      <c r="N191" s="209">
        <f>IF('信用保険料計算書（上限2000万）'!$O$15="",0,IF($B191&lt;'信用保険料計算書（上限2000万）'!$O$15,0,IF($B191&gt;'信用保険料計算書（上限2000万）'!$O$16,0,1)))</f>
        <v>0</v>
      </c>
      <c r="O191" s="209">
        <f>IF(N191=1,HLOOKUP(C191,'計算書（第6回）'!$C$123:$U$124,2,TRUE),0)</f>
        <v>0</v>
      </c>
      <c r="P191" s="209">
        <f>IF('信用保険料計算書（上限2000万）'!$Q$15="",0,IF($B191&lt;'信用保険料計算書（上限2000万）'!$Q$15,0,IF($B191&gt;'信用保険料計算書（上限2000万）'!$Q$16,0,1)))</f>
        <v>0</v>
      </c>
      <c r="Q191" s="209">
        <f>IF(P191=1,HLOOKUP(C191,'計算書（第7回）'!$C$123:$U$124,2,TRUE),0)</f>
        <v>0</v>
      </c>
      <c r="R191" s="212"/>
      <c r="S191" s="211">
        <f>COUNTIF($AB$13:$AB$19,"&lt;=2026/12/1")</f>
        <v>2</v>
      </c>
      <c r="T191" s="178">
        <f t="shared" si="17"/>
        <v>44743</v>
      </c>
      <c r="U191" s="181">
        <f t="shared" si="14"/>
        <v>8642853</v>
      </c>
      <c r="V191" s="182">
        <f t="shared" si="19"/>
        <v>8642853</v>
      </c>
      <c r="W191" s="245">
        <f t="shared" si="18"/>
        <v>3457.14</v>
      </c>
      <c r="X191" s="182"/>
    </row>
    <row r="192" spans="2:24">
      <c r="B192" s="214">
        <f t="shared" si="16"/>
        <v>46388</v>
      </c>
      <c r="C192" s="198">
        <f t="shared" si="13"/>
        <v>46357</v>
      </c>
      <c r="D192" s="209">
        <f>IF(B192&lt;'信用保険料計算書（上限2000万）'!$E$15,0,IF(B192&gt;'信用保険料計算書（上限2000万）'!$E$16,0,1))</f>
        <v>0</v>
      </c>
      <c r="E192" s="209">
        <f>IF(D192=1,HLOOKUP(C192,'計算書（第1回）'!$C$123:$U$124,2,TRUE),0)</f>
        <v>0</v>
      </c>
      <c r="F192" s="209">
        <f>IF('信用保険料計算書（上限2000万）'!$G$15="",0,IF($B192&lt;'信用保険料計算書（上限2000万）'!$G$15,0,IF($B192&gt;'信用保険料計算書（上限2000万）'!$G$16,0,1)))</f>
        <v>1</v>
      </c>
      <c r="G192" s="209">
        <f>IF(F192=1,HLOOKUP(C192,'計算書（第2回）'!$C$123:$U$124,2,TRUE),0)</f>
        <v>8642853</v>
      </c>
      <c r="H192" s="209">
        <f>IF('信用保険料計算書（上限2000万）'!$I$15="",0,IF($B192&lt;'信用保険料計算書（上限2000万）'!$I$15,0,IF($B192&gt;'信用保険料計算書（上限2000万）'!$I$16,0,1)))</f>
        <v>0</v>
      </c>
      <c r="I192" s="209">
        <f>IF(H192=1,HLOOKUP(C192,'計算書（第3回）'!$C$123:$U$124,2,TRUE),0)</f>
        <v>0</v>
      </c>
      <c r="J192" s="209">
        <f>IF('信用保険料計算書（上限2000万）'!$K$15="",0,IF($B192&lt;'信用保険料計算書（上限2000万）'!$K$15,0,IF($B192&gt;'信用保険料計算書（上限2000万）'!$K$16,0,1)))</f>
        <v>0</v>
      </c>
      <c r="K192" s="209">
        <f>IF(J192=1,HLOOKUP(C192,'計算書（第4回）'!$C$123:$U$124,2,TRUE),0)</f>
        <v>0</v>
      </c>
      <c r="L192" s="209">
        <f>IF('信用保険料計算書（上限2000万）'!$M$15="",0,IF($B192&lt;'信用保険料計算書（上限2000万）'!$M$15,0,IF($B192&gt;'信用保険料計算書（上限2000万）'!$M$16,0,1)))</f>
        <v>0</v>
      </c>
      <c r="M192" s="209">
        <f>IF(L192=1,HLOOKUP(C192,'計算書（第5回）'!$C$123:$U$124,2,TRUE),0)</f>
        <v>0</v>
      </c>
      <c r="N192" s="209">
        <f>IF('信用保険料計算書（上限2000万）'!$O$15="",0,IF($B192&lt;'信用保険料計算書（上限2000万）'!$O$15,0,IF($B192&gt;'信用保険料計算書（上限2000万）'!$O$16,0,1)))</f>
        <v>0</v>
      </c>
      <c r="O192" s="209">
        <f>IF(N192=1,HLOOKUP(C192,'計算書（第6回）'!$C$123:$U$124,2,TRUE),0)</f>
        <v>0</v>
      </c>
      <c r="P192" s="209">
        <f>IF('信用保険料計算書（上限2000万）'!$Q$15="",0,IF($B192&lt;'信用保険料計算書（上限2000万）'!$Q$15,0,IF($B192&gt;'信用保険料計算書（上限2000万）'!$Q$16,0,1)))</f>
        <v>0</v>
      </c>
      <c r="Q192" s="209">
        <f>IF(P192=1,HLOOKUP(C192,'計算書（第7回）'!$C$123:$U$124,2,TRUE),0)</f>
        <v>0</v>
      </c>
      <c r="R192" s="213"/>
      <c r="S192" s="211">
        <f>COUNTIF($AB$13:$AB$19,"&lt;=2027/1/1")</f>
        <v>2</v>
      </c>
      <c r="T192" s="178">
        <f t="shared" si="17"/>
        <v>44743</v>
      </c>
      <c r="U192" s="181">
        <f t="shared" si="14"/>
        <v>8642853</v>
      </c>
      <c r="V192" s="182">
        <f t="shared" si="19"/>
        <v>8642853</v>
      </c>
      <c r="W192" s="245">
        <f t="shared" si="18"/>
        <v>3457.14</v>
      </c>
      <c r="X192" s="182"/>
    </row>
    <row r="193" spans="2:24">
      <c r="B193" s="214">
        <f t="shared" si="16"/>
        <v>46419</v>
      </c>
      <c r="C193" s="198">
        <f t="shared" si="13"/>
        <v>46388</v>
      </c>
      <c r="D193" s="209">
        <f>IF(B193&lt;'信用保険料計算書（上限2000万）'!$E$15,0,IF(B193&gt;'信用保険料計算書（上限2000万）'!$E$16,0,1))</f>
        <v>0</v>
      </c>
      <c r="E193" s="209">
        <f>IF(D193=1,HLOOKUP(C193,'計算書（第1回）'!$C$123:$U$124,2,TRUE),0)</f>
        <v>0</v>
      </c>
      <c r="F193" s="209">
        <f>IF('信用保険料計算書（上限2000万）'!$G$15="",0,IF($B193&lt;'信用保険料計算書（上限2000万）'!$G$15,0,IF($B193&gt;'信用保険料計算書（上限2000万）'!$G$16,0,1)))</f>
        <v>1</v>
      </c>
      <c r="G193" s="209">
        <f>IF(F193=1,HLOOKUP(C193,'計算書（第2回）'!$C$123:$U$124,2,TRUE),0)</f>
        <v>8642853</v>
      </c>
      <c r="H193" s="209">
        <f>IF('信用保険料計算書（上限2000万）'!$I$15="",0,IF($B193&lt;'信用保険料計算書（上限2000万）'!$I$15,0,IF($B193&gt;'信用保険料計算書（上限2000万）'!$I$16,0,1)))</f>
        <v>0</v>
      </c>
      <c r="I193" s="209">
        <f>IF(H193=1,HLOOKUP(C193,'計算書（第3回）'!$C$123:$U$124,2,TRUE),0)</f>
        <v>0</v>
      </c>
      <c r="J193" s="209">
        <f>IF('信用保険料計算書（上限2000万）'!$K$15="",0,IF($B193&lt;'信用保険料計算書（上限2000万）'!$K$15,0,IF($B193&gt;'信用保険料計算書（上限2000万）'!$K$16,0,1)))</f>
        <v>0</v>
      </c>
      <c r="K193" s="209">
        <f>IF(J193=1,HLOOKUP(C193,'計算書（第4回）'!$C$123:$U$124,2,TRUE),0)</f>
        <v>0</v>
      </c>
      <c r="L193" s="209">
        <f>IF('信用保険料計算書（上限2000万）'!$M$15="",0,IF($B193&lt;'信用保険料計算書（上限2000万）'!$M$15,0,IF($B193&gt;'信用保険料計算書（上限2000万）'!$M$16,0,1)))</f>
        <v>0</v>
      </c>
      <c r="M193" s="209">
        <f>IF(L193=1,HLOOKUP(C193,'計算書（第5回）'!$C$123:$U$124,2,TRUE),0)</f>
        <v>0</v>
      </c>
      <c r="N193" s="209">
        <f>IF('信用保険料計算書（上限2000万）'!$O$15="",0,IF($B193&lt;'信用保険料計算書（上限2000万）'!$O$15,0,IF($B193&gt;'信用保険料計算書（上限2000万）'!$O$16,0,1)))</f>
        <v>0</v>
      </c>
      <c r="O193" s="209">
        <f>IF(N193=1,HLOOKUP(C193,'計算書（第6回）'!$C$123:$U$124,2,TRUE),0)</f>
        <v>0</v>
      </c>
      <c r="P193" s="209">
        <f>IF('信用保険料計算書（上限2000万）'!$Q$15="",0,IF($B193&lt;'信用保険料計算書（上限2000万）'!$Q$15,0,IF($B193&gt;'信用保険料計算書（上限2000万）'!$Q$16,0,1)))</f>
        <v>0</v>
      </c>
      <c r="Q193" s="209">
        <f>IF(P193=1,HLOOKUP(C193,'計算書（第7回）'!$C$123:$U$124,2,TRUE),0)</f>
        <v>0</v>
      </c>
      <c r="R193" s="213"/>
      <c r="S193" s="211">
        <f>COUNTIF($AB$13:$AB$19,"&lt;=2027/2/1")</f>
        <v>2</v>
      </c>
      <c r="T193" s="178">
        <f t="shared" si="17"/>
        <v>44743</v>
      </c>
      <c r="U193" s="181">
        <f t="shared" si="14"/>
        <v>8642853</v>
      </c>
      <c r="V193" s="182">
        <f t="shared" si="19"/>
        <v>8642853</v>
      </c>
      <c r="W193" s="245">
        <f t="shared" si="18"/>
        <v>3457.14</v>
      </c>
      <c r="X193" s="182"/>
    </row>
    <row r="194" spans="2:24">
      <c r="B194" s="214">
        <f t="shared" si="16"/>
        <v>46447</v>
      </c>
      <c r="C194" s="198">
        <f t="shared" si="13"/>
        <v>46419</v>
      </c>
      <c r="D194" s="209">
        <f>IF(B194&lt;'信用保険料計算書（上限2000万）'!$E$15,0,IF(B194&gt;'信用保険料計算書（上限2000万）'!$E$16,0,1))</f>
        <v>0</v>
      </c>
      <c r="E194" s="209">
        <f>IF(D194=1,HLOOKUP(C194,'計算書（第1回）'!$C$123:$U$124,2,TRUE),0)</f>
        <v>0</v>
      </c>
      <c r="F194" s="209">
        <f>IF('信用保険料計算書（上限2000万）'!$G$15="",0,IF($B194&lt;'信用保険料計算書（上限2000万）'!$G$15,0,IF($B194&gt;'信用保険料計算書（上限2000万）'!$G$16,0,1)))</f>
        <v>1</v>
      </c>
      <c r="G194" s="209">
        <f>IF(F194=1,HLOOKUP(C194,'計算書（第2回）'!$C$123:$U$124,2,TRUE),0)</f>
        <v>8642853</v>
      </c>
      <c r="H194" s="209">
        <f>IF('信用保険料計算書（上限2000万）'!$I$15="",0,IF($B194&lt;'信用保険料計算書（上限2000万）'!$I$15,0,IF($B194&gt;'信用保険料計算書（上限2000万）'!$I$16,0,1)))</f>
        <v>0</v>
      </c>
      <c r="I194" s="209">
        <f>IF(H194=1,HLOOKUP(C194,'計算書（第3回）'!$C$123:$U$124,2,TRUE),0)</f>
        <v>0</v>
      </c>
      <c r="J194" s="209">
        <f>IF('信用保険料計算書（上限2000万）'!$K$15="",0,IF($B194&lt;'信用保険料計算書（上限2000万）'!$K$15,0,IF($B194&gt;'信用保険料計算書（上限2000万）'!$K$16,0,1)))</f>
        <v>0</v>
      </c>
      <c r="K194" s="209">
        <f>IF(J194=1,HLOOKUP(C194,'計算書（第4回）'!$C$123:$U$124,2,TRUE),0)</f>
        <v>0</v>
      </c>
      <c r="L194" s="209">
        <f>IF('信用保険料計算書（上限2000万）'!$M$15="",0,IF($B194&lt;'信用保険料計算書（上限2000万）'!$M$15,0,IF($B194&gt;'信用保険料計算書（上限2000万）'!$M$16,0,1)))</f>
        <v>0</v>
      </c>
      <c r="M194" s="209">
        <f>IF(L194=1,HLOOKUP(C194,'計算書（第5回）'!$C$123:$U$124,2,TRUE),0)</f>
        <v>0</v>
      </c>
      <c r="N194" s="209">
        <f>IF('信用保険料計算書（上限2000万）'!$O$15="",0,IF($B194&lt;'信用保険料計算書（上限2000万）'!$O$15,0,IF($B194&gt;'信用保険料計算書（上限2000万）'!$O$16,0,1)))</f>
        <v>0</v>
      </c>
      <c r="O194" s="209">
        <f>IF(N194=1,HLOOKUP(C194,'計算書（第6回）'!$C$123:$U$124,2,TRUE),0)</f>
        <v>0</v>
      </c>
      <c r="P194" s="209">
        <f>IF('信用保険料計算書（上限2000万）'!$Q$15="",0,IF($B194&lt;'信用保険料計算書（上限2000万）'!$Q$15,0,IF($B194&gt;'信用保険料計算書（上限2000万）'!$Q$16,0,1)))</f>
        <v>0</v>
      </c>
      <c r="Q194" s="209">
        <f>IF(P194=1,HLOOKUP(C194,'計算書（第7回）'!$C$123:$U$124,2,TRUE),0)</f>
        <v>0</v>
      </c>
      <c r="R194" s="213"/>
      <c r="S194" s="211">
        <f>COUNTIF($AB$13:$AB$19,"&lt;=2027/3/1")</f>
        <v>2</v>
      </c>
      <c r="T194" s="178">
        <f t="shared" si="17"/>
        <v>44743</v>
      </c>
      <c r="U194" s="181">
        <f t="shared" si="14"/>
        <v>8642853</v>
      </c>
      <c r="V194" s="182">
        <f t="shared" si="19"/>
        <v>8642853</v>
      </c>
      <c r="W194" s="245">
        <f t="shared" si="18"/>
        <v>3457.14</v>
      </c>
      <c r="X194" s="183">
        <f>INT(SUM(W189:W194))</f>
        <v>20742</v>
      </c>
    </row>
    <row r="195" spans="2:24">
      <c r="B195" s="214">
        <f t="shared" si="16"/>
        <v>46478</v>
      </c>
      <c r="C195" s="198">
        <f t="shared" ref="C195:C258" si="20">EDATE(B195,-1)</f>
        <v>46447</v>
      </c>
      <c r="D195" s="209">
        <f>IF(B195&lt;'信用保険料計算書（上限2000万）'!$E$15,0,IF(B195&gt;'信用保険料計算書（上限2000万）'!$E$16,0,1))</f>
        <v>0</v>
      </c>
      <c r="E195" s="209">
        <f>IF(D195=1,HLOOKUP(C195,'計算書（第1回）'!$C$123:$U$124,2,TRUE),0)</f>
        <v>0</v>
      </c>
      <c r="F195" s="209">
        <f>IF('信用保険料計算書（上限2000万）'!$G$15="",0,IF($B195&lt;'信用保険料計算書（上限2000万）'!$G$15,0,IF($B195&gt;'信用保険料計算書（上限2000万）'!$G$16,0,1)))</f>
        <v>1</v>
      </c>
      <c r="G195" s="209">
        <f>IF(F195=1,HLOOKUP(C195,'計算書（第2回）'!$C$123:$U$124,2,TRUE),0)</f>
        <v>7071425</v>
      </c>
      <c r="H195" s="209">
        <f>IF('信用保険料計算書（上限2000万）'!$I$15="",0,IF($B195&lt;'信用保険料計算書（上限2000万）'!$I$15,0,IF($B195&gt;'信用保険料計算書（上限2000万）'!$I$16,0,1)))</f>
        <v>0</v>
      </c>
      <c r="I195" s="209">
        <f>IF(H195=1,HLOOKUP(C195,'計算書（第3回）'!$C$123:$U$124,2,TRUE),0)</f>
        <v>0</v>
      </c>
      <c r="J195" s="209">
        <f>IF('信用保険料計算書（上限2000万）'!$K$15="",0,IF($B195&lt;'信用保険料計算書（上限2000万）'!$K$15,0,IF($B195&gt;'信用保険料計算書（上限2000万）'!$K$16,0,1)))</f>
        <v>0</v>
      </c>
      <c r="K195" s="209">
        <f>IF(J195=1,HLOOKUP(C195,'計算書（第4回）'!$C$123:$U$124,2,TRUE),0)</f>
        <v>0</v>
      </c>
      <c r="L195" s="209">
        <f>IF('信用保険料計算書（上限2000万）'!$M$15="",0,IF($B195&lt;'信用保険料計算書（上限2000万）'!$M$15,0,IF($B195&gt;'信用保険料計算書（上限2000万）'!$M$16,0,1)))</f>
        <v>0</v>
      </c>
      <c r="M195" s="209">
        <f>IF(L195=1,HLOOKUP(C195,'計算書（第5回）'!$C$123:$U$124,2,TRUE),0)</f>
        <v>0</v>
      </c>
      <c r="N195" s="209">
        <f>IF('信用保険料計算書（上限2000万）'!$O$15="",0,IF($B195&lt;'信用保険料計算書（上限2000万）'!$O$15,0,IF($B195&gt;'信用保険料計算書（上限2000万）'!$O$16,0,1)))</f>
        <v>0</v>
      </c>
      <c r="O195" s="209">
        <f>IF(N195=1,HLOOKUP(C195,'計算書（第6回）'!$C$123:$U$124,2,TRUE),0)</f>
        <v>0</v>
      </c>
      <c r="P195" s="209">
        <f>IF('信用保険料計算書（上限2000万）'!$Q$15="",0,IF($B195&lt;'信用保険料計算書（上限2000万）'!$Q$15,0,IF($B195&gt;'信用保険料計算書（上限2000万）'!$Q$16,0,1)))</f>
        <v>0</v>
      </c>
      <c r="Q195" s="209">
        <f>IF(P195=1,HLOOKUP(C195,'計算書（第7回）'!$C$123:$U$124,2,TRUE),0)</f>
        <v>0</v>
      </c>
      <c r="R195" s="213"/>
      <c r="S195" s="211">
        <f>COUNTIF($AB$13:$AB$19,"&lt;=2027/4/1")</f>
        <v>2</v>
      </c>
      <c r="T195" s="178">
        <f t="shared" si="17"/>
        <v>44743</v>
      </c>
      <c r="U195" s="181">
        <f t="shared" ref="U195:U258" si="21">E195+G195+I195+K195+M195+O195+Q195</f>
        <v>7071425</v>
      </c>
      <c r="V195" s="182">
        <f t="shared" si="19"/>
        <v>7071425</v>
      </c>
      <c r="W195" s="245">
        <f t="shared" si="18"/>
        <v>2828.57</v>
      </c>
      <c r="X195" s="182"/>
    </row>
    <row r="196" spans="2:24">
      <c r="B196" s="214">
        <f t="shared" ref="B196:B259" si="22">EDATE(B195,1)</f>
        <v>46508</v>
      </c>
      <c r="C196" s="198">
        <f t="shared" si="20"/>
        <v>46478</v>
      </c>
      <c r="D196" s="209">
        <f>IF(B196&lt;'信用保険料計算書（上限2000万）'!$E$15,0,IF(B196&gt;'信用保険料計算書（上限2000万）'!$E$16,0,1))</f>
        <v>0</v>
      </c>
      <c r="E196" s="209">
        <f>IF(D196=1,HLOOKUP(C196,'計算書（第1回）'!$C$123:$U$124,2,TRUE),0)</f>
        <v>0</v>
      </c>
      <c r="F196" s="209">
        <f>IF('信用保険料計算書（上限2000万）'!$G$15="",0,IF($B196&lt;'信用保険料計算書（上限2000万）'!$G$15,0,IF($B196&gt;'信用保険料計算書（上限2000万）'!$G$16,0,1)))</f>
        <v>1</v>
      </c>
      <c r="G196" s="209">
        <f>IF(F196=1,HLOOKUP(C196,'計算書（第2回）'!$C$123:$U$124,2,TRUE),0)</f>
        <v>7071425</v>
      </c>
      <c r="H196" s="209">
        <f>IF('信用保険料計算書（上限2000万）'!$I$15="",0,IF($B196&lt;'信用保険料計算書（上限2000万）'!$I$15,0,IF($B196&gt;'信用保険料計算書（上限2000万）'!$I$16,0,1)))</f>
        <v>0</v>
      </c>
      <c r="I196" s="209">
        <f>IF(H196=1,HLOOKUP(C196,'計算書（第3回）'!$C$123:$U$124,2,TRUE),0)</f>
        <v>0</v>
      </c>
      <c r="J196" s="209">
        <f>IF('信用保険料計算書（上限2000万）'!$K$15="",0,IF($B196&lt;'信用保険料計算書（上限2000万）'!$K$15,0,IF($B196&gt;'信用保険料計算書（上限2000万）'!$K$16,0,1)))</f>
        <v>0</v>
      </c>
      <c r="K196" s="209">
        <f>IF(J196=1,HLOOKUP(C196,'計算書（第4回）'!$C$123:$U$124,2,TRUE),0)</f>
        <v>0</v>
      </c>
      <c r="L196" s="209">
        <f>IF('信用保険料計算書（上限2000万）'!$M$15="",0,IF($B196&lt;'信用保険料計算書（上限2000万）'!$M$15,0,IF($B196&gt;'信用保険料計算書（上限2000万）'!$M$16,0,1)))</f>
        <v>0</v>
      </c>
      <c r="M196" s="209">
        <f>IF(L196=1,HLOOKUP(C196,'計算書（第5回）'!$C$123:$U$124,2,TRUE),0)</f>
        <v>0</v>
      </c>
      <c r="N196" s="209">
        <f>IF('信用保険料計算書（上限2000万）'!$O$15="",0,IF($B196&lt;'信用保険料計算書（上限2000万）'!$O$15,0,IF($B196&gt;'信用保険料計算書（上限2000万）'!$O$16,0,1)))</f>
        <v>0</v>
      </c>
      <c r="O196" s="209">
        <f>IF(N196=1,HLOOKUP(C196,'計算書（第6回）'!$C$123:$U$124,2,TRUE),0)</f>
        <v>0</v>
      </c>
      <c r="P196" s="209">
        <f>IF('信用保険料計算書（上限2000万）'!$Q$15="",0,IF($B196&lt;'信用保険料計算書（上限2000万）'!$Q$15,0,IF($B196&gt;'信用保険料計算書（上限2000万）'!$Q$16,0,1)))</f>
        <v>0</v>
      </c>
      <c r="Q196" s="209">
        <f>IF(P196=1,HLOOKUP(C196,'計算書（第7回）'!$C$123:$U$124,2,TRUE),0)</f>
        <v>0</v>
      </c>
      <c r="R196" s="213"/>
      <c r="S196" s="211">
        <f>COUNTIF($AB$13:$AB$19,"&lt;=2027/5/1")</f>
        <v>2</v>
      </c>
      <c r="T196" s="178">
        <f t="shared" ref="T196:T259" si="23">IF(S196="","",SMALL($AB$13:$AB$19,$S196))</f>
        <v>44743</v>
      </c>
      <c r="U196" s="181">
        <f t="shared" si="21"/>
        <v>7071425</v>
      </c>
      <c r="V196" s="182">
        <f t="shared" si="19"/>
        <v>7071425</v>
      </c>
      <c r="W196" s="245">
        <f t="shared" ref="W196:W259" si="24">IF(V196=0,0,ROUNDDOWN(V196*0.0048/12,2))</f>
        <v>2828.57</v>
      </c>
      <c r="X196" s="182"/>
    </row>
    <row r="197" spans="2:24">
      <c r="B197" s="214">
        <f t="shared" si="22"/>
        <v>46539</v>
      </c>
      <c r="C197" s="198">
        <f t="shared" si="20"/>
        <v>46508</v>
      </c>
      <c r="D197" s="209">
        <f>IF(B197&lt;'信用保険料計算書（上限2000万）'!$E$15,0,IF(B197&gt;'信用保険料計算書（上限2000万）'!$E$16,0,1))</f>
        <v>0</v>
      </c>
      <c r="E197" s="209">
        <f>IF(D197=1,HLOOKUP(C197,'計算書（第1回）'!$C$123:$U$124,2,TRUE),0)</f>
        <v>0</v>
      </c>
      <c r="F197" s="209">
        <f>IF('信用保険料計算書（上限2000万）'!$G$15="",0,IF($B197&lt;'信用保険料計算書（上限2000万）'!$G$15,0,IF($B197&gt;'信用保険料計算書（上限2000万）'!$G$16,0,1)))</f>
        <v>1</v>
      </c>
      <c r="G197" s="209">
        <f>IF(F197=1,HLOOKUP(C197,'計算書（第2回）'!$C$123:$U$124,2,TRUE),0)</f>
        <v>7071425</v>
      </c>
      <c r="H197" s="209">
        <f>IF('信用保険料計算書（上限2000万）'!$I$15="",0,IF($B197&lt;'信用保険料計算書（上限2000万）'!$I$15,0,IF($B197&gt;'信用保険料計算書（上限2000万）'!$I$16,0,1)))</f>
        <v>0</v>
      </c>
      <c r="I197" s="209">
        <f>IF(H197=1,HLOOKUP(C197,'計算書（第3回）'!$C$123:$U$124,2,TRUE),0)</f>
        <v>0</v>
      </c>
      <c r="J197" s="209">
        <f>IF('信用保険料計算書（上限2000万）'!$K$15="",0,IF($B197&lt;'信用保険料計算書（上限2000万）'!$K$15,0,IF($B197&gt;'信用保険料計算書（上限2000万）'!$K$16,0,1)))</f>
        <v>0</v>
      </c>
      <c r="K197" s="209">
        <f>IF(J197=1,HLOOKUP(C197,'計算書（第4回）'!$C$123:$U$124,2,TRUE),0)</f>
        <v>0</v>
      </c>
      <c r="L197" s="209">
        <f>IF('信用保険料計算書（上限2000万）'!$M$15="",0,IF($B197&lt;'信用保険料計算書（上限2000万）'!$M$15,0,IF($B197&gt;'信用保険料計算書（上限2000万）'!$M$16,0,1)))</f>
        <v>0</v>
      </c>
      <c r="M197" s="209">
        <f>IF(L197=1,HLOOKUP(C197,'計算書（第5回）'!$C$123:$U$124,2,TRUE),0)</f>
        <v>0</v>
      </c>
      <c r="N197" s="209">
        <f>IF('信用保険料計算書（上限2000万）'!$O$15="",0,IF($B197&lt;'信用保険料計算書（上限2000万）'!$O$15,0,IF($B197&gt;'信用保険料計算書（上限2000万）'!$O$16,0,1)))</f>
        <v>0</v>
      </c>
      <c r="O197" s="209">
        <f>IF(N197=1,HLOOKUP(C197,'計算書（第6回）'!$C$123:$U$124,2,TRUE),0)</f>
        <v>0</v>
      </c>
      <c r="P197" s="209">
        <f>IF('信用保険料計算書（上限2000万）'!$Q$15="",0,IF($B197&lt;'信用保険料計算書（上限2000万）'!$Q$15,0,IF($B197&gt;'信用保険料計算書（上限2000万）'!$Q$16,0,1)))</f>
        <v>0</v>
      </c>
      <c r="Q197" s="209">
        <f>IF(P197=1,HLOOKUP(C197,'計算書（第7回）'!$C$123:$U$124,2,TRUE),0)</f>
        <v>0</v>
      </c>
      <c r="R197" s="213"/>
      <c r="S197" s="211">
        <f>COUNTIF($AB$13:$AB$19,"&lt;=2027/6/1")</f>
        <v>2</v>
      </c>
      <c r="T197" s="178">
        <f t="shared" si="23"/>
        <v>44743</v>
      </c>
      <c r="U197" s="181">
        <f t="shared" si="21"/>
        <v>7071425</v>
      </c>
      <c r="V197" s="182">
        <f t="shared" si="19"/>
        <v>7071425</v>
      </c>
      <c r="W197" s="245">
        <f t="shared" si="24"/>
        <v>2828.57</v>
      </c>
      <c r="X197" s="182"/>
    </row>
    <row r="198" spans="2:24">
      <c r="B198" s="214">
        <f t="shared" si="22"/>
        <v>46569</v>
      </c>
      <c r="C198" s="198">
        <f t="shared" si="20"/>
        <v>46539</v>
      </c>
      <c r="D198" s="209">
        <f>IF(B198&lt;'信用保険料計算書（上限2000万）'!$E$15,0,IF(B198&gt;'信用保険料計算書（上限2000万）'!$E$16,0,1))</f>
        <v>0</v>
      </c>
      <c r="E198" s="209">
        <f>IF(D198=1,HLOOKUP(C198,'計算書（第1回）'!$C$123:$U$124,2,TRUE),0)</f>
        <v>0</v>
      </c>
      <c r="F198" s="209">
        <f>IF('信用保険料計算書（上限2000万）'!$G$15="",0,IF($B198&lt;'信用保険料計算書（上限2000万）'!$G$15,0,IF($B198&gt;'信用保険料計算書（上限2000万）'!$G$16,0,1)))</f>
        <v>1</v>
      </c>
      <c r="G198" s="209">
        <f>IF(F198=1,HLOOKUP(C198,'計算書（第2回）'!$C$123:$U$124,2,TRUE),0)</f>
        <v>7071425</v>
      </c>
      <c r="H198" s="209">
        <f>IF('信用保険料計算書（上限2000万）'!$I$15="",0,IF($B198&lt;'信用保険料計算書（上限2000万）'!$I$15,0,IF($B198&gt;'信用保険料計算書（上限2000万）'!$I$16,0,1)))</f>
        <v>0</v>
      </c>
      <c r="I198" s="209">
        <f>IF(H198=1,HLOOKUP(C198,'計算書（第3回）'!$C$123:$U$124,2,TRUE),0)</f>
        <v>0</v>
      </c>
      <c r="J198" s="209">
        <f>IF('信用保険料計算書（上限2000万）'!$K$15="",0,IF($B198&lt;'信用保険料計算書（上限2000万）'!$K$15,0,IF($B198&gt;'信用保険料計算書（上限2000万）'!$K$16,0,1)))</f>
        <v>0</v>
      </c>
      <c r="K198" s="209">
        <f>IF(J198=1,HLOOKUP(C198,'計算書（第4回）'!$C$123:$U$124,2,TRUE),0)</f>
        <v>0</v>
      </c>
      <c r="L198" s="209">
        <f>IF('信用保険料計算書（上限2000万）'!$M$15="",0,IF($B198&lt;'信用保険料計算書（上限2000万）'!$M$15,0,IF($B198&gt;'信用保険料計算書（上限2000万）'!$M$16,0,1)))</f>
        <v>0</v>
      </c>
      <c r="M198" s="209">
        <f>IF(L198=1,HLOOKUP(C198,'計算書（第5回）'!$C$123:$U$124,2,TRUE),0)</f>
        <v>0</v>
      </c>
      <c r="N198" s="209">
        <f>IF('信用保険料計算書（上限2000万）'!$O$15="",0,IF($B198&lt;'信用保険料計算書（上限2000万）'!$O$15,0,IF($B198&gt;'信用保険料計算書（上限2000万）'!$O$16,0,1)))</f>
        <v>0</v>
      </c>
      <c r="O198" s="209">
        <f>IF(N198=1,HLOOKUP(C198,'計算書（第6回）'!$C$123:$U$124,2,TRUE),0)</f>
        <v>0</v>
      </c>
      <c r="P198" s="209">
        <f>IF('信用保険料計算書（上限2000万）'!$Q$15="",0,IF($B198&lt;'信用保険料計算書（上限2000万）'!$Q$15,0,IF($B198&gt;'信用保険料計算書（上限2000万）'!$Q$16,0,1)))</f>
        <v>0</v>
      </c>
      <c r="Q198" s="209">
        <f>IF(P198=1,HLOOKUP(C198,'計算書（第7回）'!$C$123:$U$124,2,TRUE),0)</f>
        <v>0</v>
      </c>
      <c r="R198" s="213"/>
      <c r="S198" s="211">
        <f>COUNTIF($AB$13:$AB$19,"&lt;=2027/7/1")</f>
        <v>2</v>
      </c>
      <c r="T198" s="178">
        <f t="shared" si="23"/>
        <v>44743</v>
      </c>
      <c r="U198" s="181">
        <f t="shared" si="21"/>
        <v>7071425</v>
      </c>
      <c r="V198" s="182">
        <f t="shared" si="19"/>
        <v>7071425</v>
      </c>
      <c r="W198" s="245">
        <f t="shared" si="24"/>
        <v>2828.57</v>
      </c>
      <c r="X198" s="182"/>
    </row>
    <row r="199" spans="2:24">
      <c r="B199" s="214">
        <f t="shared" si="22"/>
        <v>46600</v>
      </c>
      <c r="C199" s="198">
        <f t="shared" si="20"/>
        <v>46569</v>
      </c>
      <c r="D199" s="209">
        <f>IF(B199&lt;'信用保険料計算書（上限2000万）'!$E$15,0,IF(B199&gt;'信用保険料計算書（上限2000万）'!$E$16,0,1))</f>
        <v>0</v>
      </c>
      <c r="E199" s="209">
        <f>IF(D199=1,HLOOKUP(C199,'計算書（第1回）'!$C$123:$U$124,2,TRUE),0)</f>
        <v>0</v>
      </c>
      <c r="F199" s="209">
        <f>IF('信用保険料計算書（上限2000万）'!$G$15="",0,IF($B199&lt;'信用保険料計算書（上限2000万）'!$G$15,0,IF($B199&gt;'信用保険料計算書（上限2000万）'!$G$16,0,1)))</f>
        <v>1</v>
      </c>
      <c r="G199" s="209">
        <f>IF(F199=1,HLOOKUP(C199,'計算書（第2回）'!$C$123:$U$124,2,TRUE),0)</f>
        <v>7071425</v>
      </c>
      <c r="H199" s="209">
        <f>IF('信用保険料計算書（上限2000万）'!$I$15="",0,IF($B199&lt;'信用保険料計算書（上限2000万）'!$I$15,0,IF($B199&gt;'信用保険料計算書（上限2000万）'!$I$16,0,1)))</f>
        <v>0</v>
      </c>
      <c r="I199" s="209">
        <f>IF(H199=1,HLOOKUP(C199,'計算書（第3回）'!$C$123:$U$124,2,TRUE),0)</f>
        <v>0</v>
      </c>
      <c r="J199" s="209">
        <f>IF('信用保険料計算書（上限2000万）'!$K$15="",0,IF($B199&lt;'信用保険料計算書（上限2000万）'!$K$15,0,IF($B199&gt;'信用保険料計算書（上限2000万）'!$K$16,0,1)))</f>
        <v>0</v>
      </c>
      <c r="K199" s="209">
        <f>IF(J199=1,HLOOKUP(C199,'計算書（第4回）'!$C$123:$U$124,2,TRUE),0)</f>
        <v>0</v>
      </c>
      <c r="L199" s="209">
        <f>IF('信用保険料計算書（上限2000万）'!$M$15="",0,IF($B199&lt;'信用保険料計算書（上限2000万）'!$M$15,0,IF($B199&gt;'信用保険料計算書（上限2000万）'!$M$16,0,1)))</f>
        <v>0</v>
      </c>
      <c r="M199" s="209">
        <f>IF(L199=1,HLOOKUP(C199,'計算書（第5回）'!$C$123:$U$124,2,TRUE),0)</f>
        <v>0</v>
      </c>
      <c r="N199" s="209">
        <f>IF('信用保険料計算書（上限2000万）'!$O$15="",0,IF($B199&lt;'信用保険料計算書（上限2000万）'!$O$15,0,IF($B199&gt;'信用保険料計算書（上限2000万）'!$O$16,0,1)))</f>
        <v>0</v>
      </c>
      <c r="O199" s="209">
        <f>IF(N199=1,HLOOKUP(C199,'計算書（第6回）'!$C$123:$U$124,2,TRUE),0)</f>
        <v>0</v>
      </c>
      <c r="P199" s="209">
        <f>IF('信用保険料計算書（上限2000万）'!$Q$15="",0,IF($B199&lt;'信用保険料計算書（上限2000万）'!$Q$15,0,IF($B199&gt;'信用保険料計算書（上限2000万）'!$Q$16,0,1)))</f>
        <v>0</v>
      </c>
      <c r="Q199" s="209">
        <f>IF(P199=1,HLOOKUP(C199,'計算書（第7回）'!$C$123:$U$124,2,TRUE),0)</f>
        <v>0</v>
      </c>
      <c r="R199" s="213"/>
      <c r="S199" s="211">
        <f>COUNTIF($AB$13:$AB$19,"&lt;=2027/8/1")</f>
        <v>2</v>
      </c>
      <c r="T199" s="178">
        <f t="shared" si="23"/>
        <v>44743</v>
      </c>
      <c r="U199" s="181">
        <f t="shared" si="21"/>
        <v>7071425</v>
      </c>
      <c r="V199" s="182">
        <f t="shared" si="19"/>
        <v>7071425</v>
      </c>
      <c r="W199" s="245">
        <f t="shared" si="24"/>
        <v>2828.57</v>
      </c>
      <c r="X199" s="182"/>
    </row>
    <row r="200" spans="2:24">
      <c r="B200" s="214">
        <f t="shared" si="22"/>
        <v>46631</v>
      </c>
      <c r="C200" s="198">
        <f t="shared" si="20"/>
        <v>46600</v>
      </c>
      <c r="D200" s="209">
        <f>IF(B200&lt;'信用保険料計算書（上限2000万）'!$E$15,0,IF(B200&gt;'信用保険料計算書（上限2000万）'!$E$16,0,1))</f>
        <v>0</v>
      </c>
      <c r="E200" s="209">
        <f>IF(D200=1,HLOOKUP(C200,'計算書（第1回）'!$C$123:$U$124,2,TRUE),0)</f>
        <v>0</v>
      </c>
      <c r="F200" s="209">
        <f>IF('信用保険料計算書（上限2000万）'!$G$15="",0,IF($B200&lt;'信用保険料計算書（上限2000万）'!$G$15,0,IF($B200&gt;'信用保険料計算書（上限2000万）'!$G$16,0,1)))</f>
        <v>1</v>
      </c>
      <c r="G200" s="209">
        <f>IF(F200=1,HLOOKUP(C200,'計算書（第2回）'!$C$123:$U$124,2,TRUE),0)</f>
        <v>7071425</v>
      </c>
      <c r="H200" s="209">
        <f>IF('信用保険料計算書（上限2000万）'!$I$15="",0,IF($B200&lt;'信用保険料計算書（上限2000万）'!$I$15,0,IF($B200&gt;'信用保険料計算書（上限2000万）'!$I$16,0,1)))</f>
        <v>0</v>
      </c>
      <c r="I200" s="209">
        <f>IF(H200=1,HLOOKUP(C200,'計算書（第3回）'!$C$123:$U$124,2,TRUE),0)</f>
        <v>0</v>
      </c>
      <c r="J200" s="209">
        <f>IF('信用保険料計算書（上限2000万）'!$K$15="",0,IF($B200&lt;'信用保険料計算書（上限2000万）'!$K$15,0,IF($B200&gt;'信用保険料計算書（上限2000万）'!$K$16,0,1)))</f>
        <v>0</v>
      </c>
      <c r="K200" s="209">
        <f>IF(J200=1,HLOOKUP(C200,'計算書（第4回）'!$C$123:$U$124,2,TRUE),0)</f>
        <v>0</v>
      </c>
      <c r="L200" s="209">
        <f>IF('信用保険料計算書（上限2000万）'!$M$15="",0,IF($B200&lt;'信用保険料計算書（上限2000万）'!$M$15,0,IF($B200&gt;'信用保険料計算書（上限2000万）'!$M$16,0,1)))</f>
        <v>0</v>
      </c>
      <c r="M200" s="209">
        <f>IF(L200=1,HLOOKUP(C200,'計算書（第5回）'!$C$123:$U$124,2,TRUE),0)</f>
        <v>0</v>
      </c>
      <c r="N200" s="209">
        <f>IF('信用保険料計算書（上限2000万）'!$O$15="",0,IF($B200&lt;'信用保険料計算書（上限2000万）'!$O$15,0,IF($B200&gt;'信用保険料計算書（上限2000万）'!$O$16,0,1)))</f>
        <v>0</v>
      </c>
      <c r="O200" s="209">
        <f>IF(N200=1,HLOOKUP(C200,'計算書（第6回）'!$C$123:$U$124,2,TRUE),0)</f>
        <v>0</v>
      </c>
      <c r="P200" s="209">
        <f>IF('信用保険料計算書（上限2000万）'!$Q$15="",0,IF($B200&lt;'信用保険料計算書（上限2000万）'!$Q$15,0,IF($B200&gt;'信用保険料計算書（上限2000万）'!$Q$16,0,1)))</f>
        <v>0</v>
      </c>
      <c r="Q200" s="209">
        <f>IF(P200=1,HLOOKUP(C200,'計算書（第7回）'!$C$123:$U$124,2,TRUE),0)</f>
        <v>0</v>
      </c>
      <c r="R200" s="213"/>
      <c r="S200" s="211">
        <f>COUNTIF($AB$13:$AB$19,"&lt;=2027/9/1")</f>
        <v>2</v>
      </c>
      <c r="T200" s="178">
        <f t="shared" si="23"/>
        <v>44743</v>
      </c>
      <c r="U200" s="181">
        <f t="shared" si="21"/>
        <v>7071425</v>
      </c>
      <c r="V200" s="182">
        <f t="shared" si="19"/>
        <v>7071425</v>
      </c>
      <c r="W200" s="245">
        <f t="shared" si="24"/>
        <v>2828.57</v>
      </c>
      <c r="X200" s="183">
        <f>INT(SUM(W195:W200))</f>
        <v>16971</v>
      </c>
    </row>
    <row r="201" spans="2:24">
      <c r="B201" s="214">
        <f t="shared" si="22"/>
        <v>46661</v>
      </c>
      <c r="C201" s="198">
        <f t="shared" si="20"/>
        <v>46631</v>
      </c>
      <c r="D201" s="209">
        <f>IF(B201&lt;'信用保険料計算書（上限2000万）'!$E$15,0,IF(B201&gt;'信用保険料計算書（上限2000万）'!$E$16,0,1))</f>
        <v>0</v>
      </c>
      <c r="E201" s="209">
        <f>IF(D201=1,HLOOKUP(C201,'計算書（第1回）'!$C$123:$U$124,2,TRUE),0)</f>
        <v>0</v>
      </c>
      <c r="F201" s="209">
        <f>IF('信用保険料計算書（上限2000万）'!$G$15="",0,IF($B201&lt;'信用保険料計算書（上限2000万）'!$G$15,0,IF($B201&gt;'信用保険料計算書（上限2000万）'!$G$16,0,1)))</f>
        <v>1</v>
      </c>
      <c r="G201" s="209">
        <f>IF(F201=1,HLOOKUP(C201,'計算書（第2回）'!$C$123:$U$124,2,TRUE),0)</f>
        <v>5499997</v>
      </c>
      <c r="H201" s="209">
        <f>IF('信用保険料計算書（上限2000万）'!$I$15="",0,IF($B201&lt;'信用保険料計算書（上限2000万）'!$I$15,0,IF($B201&gt;'信用保険料計算書（上限2000万）'!$I$16,0,1)))</f>
        <v>0</v>
      </c>
      <c r="I201" s="209">
        <f>IF(H201=1,HLOOKUP(C201,'計算書（第3回）'!$C$123:$U$124,2,TRUE),0)</f>
        <v>0</v>
      </c>
      <c r="J201" s="209">
        <f>IF('信用保険料計算書（上限2000万）'!$K$15="",0,IF($B201&lt;'信用保険料計算書（上限2000万）'!$K$15,0,IF($B201&gt;'信用保険料計算書（上限2000万）'!$K$16,0,1)))</f>
        <v>0</v>
      </c>
      <c r="K201" s="209">
        <f>IF(J201=1,HLOOKUP(C201,'計算書（第4回）'!$C$123:$U$124,2,TRUE),0)</f>
        <v>0</v>
      </c>
      <c r="L201" s="209">
        <f>IF('信用保険料計算書（上限2000万）'!$M$15="",0,IF($B201&lt;'信用保険料計算書（上限2000万）'!$M$15,0,IF($B201&gt;'信用保険料計算書（上限2000万）'!$M$16,0,1)))</f>
        <v>0</v>
      </c>
      <c r="M201" s="209">
        <f>IF(L201=1,HLOOKUP(C201,'計算書（第5回）'!$C$123:$U$124,2,TRUE),0)</f>
        <v>0</v>
      </c>
      <c r="N201" s="209">
        <f>IF('信用保険料計算書（上限2000万）'!$O$15="",0,IF($B201&lt;'信用保険料計算書（上限2000万）'!$O$15,0,IF($B201&gt;'信用保険料計算書（上限2000万）'!$O$16,0,1)))</f>
        <v>0</v>
      </c>
      <c r="O201" s="209">
        <f>IF(N201=1,HLOOKUP(C201,'計算書（第6回）'!$C$123:$U$124,2,TRUE),0)</f>
        <v>0</v>
      </c>
      <c r="P201" s="209">
        <f>IF('信用保険料計算書（上限2000万）'!$Q$15="",0,IF($B201&lt;'信用保険料計算書（上限2000万）'!$Q$15,0,IF($B201&gt;'信用保険料計算書（上限2000万）'!$Q$16,0,1)))</f>
        <v>0</v>
      </c>
      <c r="Q201" s="209">
        <f>IF(P201=1,HLOOKUP(C201,'計算書（第7回）'!$C$123:$U$124,2,TRUE),0)</f>
        <v>0</v>
      </c>
      <c r="R201" s="213"/>
      <c r="S201" s="211">
        <f>COUNTIF($AB$13:$AB$19,"&lt;=2027/10/1")</f>
        <v>2</v>
      </c>
      <c r="T201" s="178">
        <f t="shared" si="23"/>
        <v>44743</v>
      </c>
      <c r="U201" s="181">
        <f t="shared" si="21"/>
        <v>5499997</v>
      </c>
      <c r="V201" s="182">
        <f t="shared" si="19"/>
        <v>5499997</v>
      </c>
      <c r="W201" s="245">
        <f t="shared" si="24"/>
        <v>2199.9899999999998</v>
      </c>
      <c r="X201" s="182"/>
    </row>
    <row r="202" spans="2:24">
      <c r="B202" s="214">
        <f t="shared" si="22"/>
        <v>46692</v>
      </c>
      <c r="C202" s="198">
        <f t="shared" si="20"/>
        <v>46661</v>
      </c>
      <c r="D202" s="209">
        <f>IF(B202&lt;'信用保険料計算書（上限2000万）'!$E$15,0,IF(B202&gt;'信用保険料計算書（上限2000万）'!$E$16,0,1))</f>
        <v>0</v>
      </c>
      <c r="E202" s="209">
        <f>IF(D202=1,HLOOKUP(C202,'計算書（第1回）'!$C$123:$U$124,2,TRUE),0)</f>
        <v>0</v>
      </c>
      <c r="F202" s="209">
        <f>IF('信用保険料計算書（上限2000万）'!$G$15="",0,IF($B202&lt;'信用保険料計算書（上限2000万）'!$G$15,0,IF($B202&gt;'信用保険料計算書（上限2000万）'!$G$16,0,1)))</f>
        <v>1</v>
      </c>
      <c r="G202" s="209">
        <f>IF(F202=1,HLOOKUP(C202,'計算書（第2回）'!$C$123:$U$124,2,TRUE),0)</f>
        <v>5499997</v>
      </c>
      <c r="H202" s="209">
        <f>IF('信用保険料計算書（上限2000万）'!$I$15="",0,IF($B202&lt;'信用保険料計算書（上限2000万）'!$I$15,0,IF($B202&gt;'信用保険料計算書（上限2000万）'!$I$16,0,1)))</f>
        <v>0</v>
      </c>
      <c r="I202" s="209">
        <f>IF(H202=1,HLOOKUP(C202,'計算書（第3回）'!$C$123:$U$124,2,TRUE),0)</f>
        <v>0</v>
      </c>
      <c r="J202" s="209">
        <f>IF('信用保険料計算書（上限2000万）'!$K$15="",0,IF($B202&lt;'信用保険料計算書（上限2000万）'!$K$15,0,IF($B202&gt;'信用保険料計算書（上限2000万）'!$K$16,0,1)))</f>
        <v>0</v>
      </c>
      <c r="K202" s="209">
        <f>IF(J202=1,HLOOKUP(C202,'計算書（第4回）'!$C$123:$U$124,2,TRUE),0)</f>
        <v>0</v>
      </c>
      <c r="L202" s="209">
        <f>IF('信用保険料計算書（上限2000万）'!$M$15="",0,IF($B202&lt;'信用保険料計算書（上限2000万）'!$M$15,0,IF($B202&gt;'信用保険料計算書（上限2000万）'!$M$16,0,1)))</f>
        <v>0</v>
      </c>
      <c r="M202" s="209">
        <f>IF(L202=1,HLOOKUP(C202,'計算書（第5回）'!$C$123:$U$124,2,TRUE),0)</f>
        <v>0</v>
      </c>
      <c r="N202" s="209">
        <f>IF('信用保険料計算書（上限2000万）'!$O$15="",0,IF($B202&lt;'信用保険料計算書（上限2000万）'!$O$15,0,IF($B202&gt;'信用保険料計算書（上限2000万）'!$O$16,0,1)))</f>
        <v>0</v>
      </c>
      <c r="O202" s="209">
        <f>IF(N202=1,HLOOKUP(C202,'計算書（第6回）'!$C$123:$U$124,2,TRUE),0)</f>
        <v>0</v>
      </c>
      <c r="P202" s="209">
        <f>IF('信用保険料計算書（上限2000万）'!$Q$15="",0,IF($B202&lt;'信用保険料計算書（上限2000万）'!$Q$15,0,IF($B202&gt;'信用保険料計算書（上限2000万）'!$Q$16,0,1)))</f>
        <v>0</v>
      </c>
      <c r="Q202" s="209">
        <f>IF(P202=1,HLOOKUP(C202,'計算書（第7回）'!$C$123:$U$124,2,TRUE),0)</f>
        <v>0</v>
      </c>
      <c r="R202" s="213"/>
      <c r="S202" s="211">
        <f>COUNTIF($AB$13:$AB$19,"&lt;=2027/11/1")</f>
        <v>2</v>
      </c>
      <c r="T202" s="178">
        <f t="shared" si="23"/>
        <v>44743</v>
      </c>
      <c r="U202" s="181">
        <f t="shared" si="21"/>
        <v>5499997</v>
      </c>
      <c r="V202" s="182">
        <f t="shared" si="19"/>
        <v>5499997</v>
      </c>
      <c r="W202" s="245">
        <f t="shared" si="24"/>
        <v>2199.9899999999998</v>
      </c>
      <c r="X202" s="182"/>
    </row>
    <row r="203" spans="2:24">
      <c r="B203" s="214">
        <f t="shared" si="22"/>
        <v>46722</v>
      </c>
      <c r="C203" s="198">
        <f t="shared" si="20"/>
        <v>46692</v>
      </c>
      <c r="D203" s="209">
        <f>IF(B203&lt;'信用保険料計算書（上限2000万）'!$E$15,0,IF(B203&gt;'信用保険料計算書（上限2000万）'!$E$16,0,1))</f>
        <v>0</v>
      </c>
      <c r="E203" s="209">
        <f>IF(D203=1,HLOOKUP(C203,'計算書（第1回）'!$C$123:$U$124,2,TRUE),0)</f>
        <v>0</v>
      </c>
      <c r="F203" s="209">
        <f>IF('信用保険料計算書（上限2000万）'!$G$15="",0,IF($B203&lt;'信用保険料計算書（上限2000万）'!$G$15,0,IF($B203&gt;'信用保険料計算書（上限2000万）'!$G$16,0,1)))</f>
        <v>1</v>
      </c>
      <c r="G203" s="209">
        <f>IF(F203=1,HLOOKUP(C203,'計算書（第2回）'!$C$123:$U$124,2,TRUE),0)</f>
        <v>5499997</v>
      </c>
      <c r="H203" s="209">
        <f>IF('信用保険料計算書（上限2000万）'!$I$15="",0,IF($B203&lt;'信用保険料計算書（上限2000万）'!$I$15,0,IF($B203&gt;'信用保険料計算書（上限2000万）'!$I$16,0,1)))</f>
        <v>0</v>
      </c>
      <c r="I203" s="209">
        <f>IF(H203=1,HLOOKUP(C203,'計算書（第3回）'!$C$123:$U$124,2,TRUE),0)</f>
        <v>0</v>
      </c>
      <c r="J203" s="209">
        <f>IF('信用保険料計算書（上限2000万）'!$K$15="",0,IF($B203&lt;'信用保険料計算書（上限2000万）'!$K$15,0,IF($B203&gt;'信用保険料計算書（上限2000万）'!$K$16,0,1)))</f>
        <v>0</v>
      </c>
      <c r="K203" s="209">
        <f>IF(J203=1,HLOOKUP(C203,'計算書（第4回）'!$C$123:$U$124,2,TRUE),0)</f>
        <v>0</v>
      </c>
      <c r="L203" s="209">
        <f>IF('信用保険料計算書（上限2000万）'!$M$15="",0,IF($B203&lt;'信用保険料計算書（上限2000万）'!$M$15,0,IF($B203&gt;'信用保険料計算書（上限2000万）'!$M$16,0,1)))</f>
        <v>0</v>
      </c>
      <c r="M203" s="209">
        <f>IF(L203=1,HLOOKUP(C203,'計算書（第5回）'!$C$123:$U$124,2,TRUE),0)</f>
        <v>0</v>
      </c>
      <c r="N203" s="209">
        <f>IF('信用保険料計算書（上限2000万）'!$O$15="",0,IF($B203&lt;'信用保険料計算書（上限2000万）'!$O$15,0,IF($B203&gt;'信用保険料計算書（上限2000万）'!$O$16,0,1)))</f>
        <v>0</v>
      </c>
      <c r="O203" s="209">
        <f>IF(N203=1,HLOOKUP(C203,'計算書（第6回）'!$C$123:$U$124,2,TRUE),0)</f>
        <v>0</v>
      </c>
      <c r="P203" s="209">
        <f>IF('信用保険料計算書（上限2000万）'!$Q$15="",0,IF($B203&lt;'信用保険料計算書（上限2000万）'!$Q$15,0,IF($B203&gt;'信用保険料計算書（上限2000万）'!$Q$16,0,1)))</f>
        <v>0</v>
      </c>
      <c r="Q203" s="209">
        <f>IF(P203=1,HLOOKUP(C203,'計算書（第7回）'!$C$123:$U$124,2,TRUE),0)</f>
        <v>0</v>
      </c>
      <c r="R203" s="213"/>
      <c r="S203" s="211">
        <f>COUNTIF($AB$13:$AB$19,"&lt;=2027/12/1")</f>
        <v>2</v>
      </c>
      <c r="T203" s="178">
        <f t="shared" si="23"/>
        <v>44743</v>
      </c>
      <c r="U203" s="181">
        <f t="shared" si="21"/>
        <v>5499997</v>
      </c>
      <c r="V203" s="182">
        <f t="shared" si="19"/>
        <v>5499997</v>
      </c>
      <c r="W203" s="245">
        <f t="shared" si="24"/>
        <v>2199.9899999999998</v>
      </c>
      <c r="X203" s="182"/>
    </row>
    <row r="204" spans="2:24">
      <c r="B204" s="214">
        <f t="shared" si="22"/>
        <v>46753</v>
      </c>
      <c r="C204" s="198">
        <f t="shared" si="20"/>
        <v>46722</v>
      </c>
      <c r="D204" s="209">
        <f>IF(B204&lt;'信用保険料計算書（上限2000万）'!$E$15,0,IF(B204&gt;'信用保険料計算書（上限2000万）'!$E$16,0,1))</f>
        <v>0</v>
      </c>
      <c r="E204" s="209">
        <f>IF(D204=1,HLOOKUP(C204,'計算書（第1回）'!$C$123:$U$124,2,TRUE),0)</f>
        <v>0</v>
      </c>
      <c r="F204" s="209">
        <f>IF('信用保険料計算書（上限2000万）'!$G$15="",0,IF($B204&lt;'信用保険料計算書（上限2000万）'!$G$15,0,IF($B204&gt;'信用保険料計算書（上限2000万）'!$G$16,0,1)))</f>
        <v>1</v>
      </c>
      <c r="G204" s="209">
        <f>IF(F204=1,HLOOKUP(C204,'計算書（第2回）'!$C$123:$U$124,2,TRUE),0)</f>
        <v>5499997</v>
      </c>
      <c r="H204" s="209">
        <f>IF('信用保険料計算書（上限2000万）'!$I$15="",0,IF($B204&lt;'信用保険料計算書（上限2000万）'!$I$15,0,IF($B204&gt;'信用保険料計算書（上限2000万）'!$I$16,0,1)))</f>
        <v>0</v>
      </c>
      <c r="I204" s="209">
        <f>IF(H204=1,HLOOKUP(C204,'計算書（第3回）'!$C$123:$U$124,2,TRUE),0)</f>
        <v>0</v>
      </c>
      <c r="J204" s="209">
        <f>IF('信用保険料計算書（上限2000万）'!$K$15="",0,IF($B204&lt;'信用保険料計算書（上限2000万）'!$K$15,0,IF($B204&gt;'信用保険料計算書（上限2000万）'!$K$16,0,1)))</f>
        <v>0</v>
      </c>
      <c r="K204" s="209">
        <f>IF(J204=1,HLOOKUP(C204,'計算書（第4回）'!$C$123:$U$124,2,TRUE),0)</f>
        <v>0</v>
      </c>
      <c r="L204" s="209">
        <f>IF('信用保険料計算書（上限2000万）'!$M$15="",0,IF($B204&lt;'信用保険料計算書（上限2000万）'!$M$15,0,IF($B204&gt;'信用保険料計算書（上限2000万）'!$M$16,0,1)))</f>
        <v>0</v>
      </c>
      <c r="M204" s="209">
        <f>IF(L204=1,HLOOKUP(C204,'計算書（第5回）'!$C$123:$U$124,2,TRUE),0)</f>
        <v>0</v>
      </c>
      <c r="N204" s="209">
        <f>IF('信用保険料計算書（上限2000万）'!$O$15="",0,IF($B204&lt;'信用保険料計算書（上限2000万）'!$O$15,0,IF($B204&gt;'信用保険料計算書（上限2000万）'!$O$16,0,1)))</f>
        <v>0</v>
      </c>
      <c r="O204" s="209">
        <f>IF(N204=1,HLOOKUP(C204,'計算書（第6回）'!$C$123:$U$124,2,TRUE),0)</f>
        <v>0</v>
      </c>
      <c r="P204" s="209">
        <f>IF('信用保険料計算書（上限2000万）'!$Q$15="",0,IF($B204&lt;'信用保険料計算書（上限2000万）'!$Q$15,0,IF($B204&gt;'信用保険料計算書（上限2000万）'!$Q$16,0,1)))</f>
        <v>0</v>
      </c>
      <c r="Q204" s="209">
        <f>IF(P204=1,HLOOKUP(C204,'計算書（第7回）'!$C$123:$U$124,2,TRUE),0)</f>
        <v>0</v>
      </c>
      <c r="R204" s="212"/>
      <c r="S204" s="211">
        <f>COUNTIF($AB$13:$AB$19,"&lt;=2028/1/1")</f>
        <v>2</v>
      </c>
      <c r="T204" s="178">
        <f t="shared" si="23"/>
        <v>44743</v>
      </c>
      <c r="U204" s="181">
        <f t="shared" si="21"/>
        <v>5499997</v>
      </c>
      <c r="V204" s="182">
        <f t="shared" si="19"/>
        <v>5499997</v>
      </c>
      <c r="W204" s="245">
        <f t="shared" si="24"/>
        <v>2199.9899999999998</v>
      </c>
      <c r="X204" s="182"/>
    </row>
    <row r="205" spans="2:24">
      <c r="B205" s="214">
        <f t="shared" si="22"/>
        <v>46784</v>
      </c>
      <c r="C205" s="198">
        <f t="shared" si="20"/>
        <v>46753</v>
      </c>
      <c r="D205" s="209">
        <f>IF(B205&lt;'信用保険料計算書（上限2000万）'!$E$15,0,IF(B205&gt;'信用保険料計算書（上限2000万）'!$E$16,0,1))</f>
        <v>0</v>
      </c>
      <c r="E205" s="209">
        <f>IF(D205=1,HLOOKUP(C205,'計算書（第1回）'!$C$123:$U$124,2,TRUE),0)</f>
        <v>0</v>
      </c>
      <c r="F205" s="209">
        <f>IF('信用保険料計算書（上限2000万）'!$G$15="",0,IF($B205&lt;'信用保険料計算書（上限2000万）'!$G$15,0,IF($B205&gt;'信用保険料計算書（上限2000万）'!$G$16,0,1)))</f>
        <v>1</v>
      </c>
      <c r="G205" s="209">
        <f>IF(F205=1,HLOOKUP(C205,'計算書（第2回）'!$C$123:$U$124,2,TRUE),0)</f>
        <v>5499997</v>
      </c>
      <c r="H205" s="209">
        <f>IF('信用保険料計算書（上限2000万）'!$I$15="",0,IF($B205&lt;'信用保険料計算書（上限2000万）'!$I$15,0,IF($B205&gt;'信用保険料計算書（上限2000万）'!$I$16,0,1)))</f>
        <v>0</v>
      </c>
      <c r="I205" s="209">
        <f>IF(H205=1,HLOOKUP(C205,'計算書（第3回）'!$C$123:$U$124,2,TRUE),0)</f>
        <v>0</v>
      </c>
      <c r="J205" s="209">
        <f>IF('信用保険料計算書（上限2000万）'!$K$15="",0,IF($B205&lt;'信用保険料計算書（上限2000万）'!$K$15,0,IF($B205&gt;'信用保険料計算書（上限2000万）'!$K$16,0,1)))</f>
        <v>0</v>
      </c>
      <c r="K205" s="209">
        <f>IF(J205=1,HLOOKUP(C205,'計算書（第4回）'!$C$123:$U$124,2,TRUE),0)</f>
        <v>0</v>
      </c>
      <c r="L205" s="209">
        <f>IF('信用保険料計算書（上限2000万）'!$M$15="",0,IF($B205&lt;'信用保険料計算書（上限2000万）'!$M$15,0,IF($B205&gt;'信用保険料計算書（上限2000万）'!$M$16,0,1)))</f>
        <v>0</v>
      </c>
      <c r="M205" s="209">
        <f>IF(L205=1,HLOOKUP(C205,'計算書（第5回）'!$C$123:$U$124,2,TRUE),0)</f>
        <v>0</v>
      </c>
      <c r="N205" s="209">
        <f>IF('信用保険料計算書（上限2000万）'!$O$15="",0,IF($B205&lt;'信用保険料計算書（上限2000万）'!$O$15,0,IF($B205&gt;'信用保険料計算書（上限2000万）'!$O$16,0,1)))</f>
        <v>0</v>
      </c>
      <c r="O205" s="209">
        <f>IF(N205=1,HLOOKUP(C205,'計算書（第6回）'!$C$123:$U$124,2,TRUE),0)</f>
        <v>0</v>
      </c>
      <c r="P205" s="209">
        <f>IF('信用保険料計算書（上限2000万）'!$Q$15="",0,IF($B205&lt;'信用保険料計算書（上限2000万）'!$Q$15,0,IF($B205&gt;'信用保険料計算書（上限2000万）'!$Q$16,0,1)))</f>
        <v>0</v>
      </c>
      <c r="Q205" s="209">
        <f>IF(P205=1,HLOOKUP(C205,'計算書（第7回）'!$C$123:$U$124,2,TRUE),0)</f>
        <v>0</v>
      </c>
      <c r="R205" s="212"/>
      <c r="S205" s="211">
        <f>COUNTIF($AB$13:$AB$19,"&lt;=2028/2/1")</f>
        <v>2</v>
      </c>
      <c r="T205" s="178">
        <f t="shared" si="23"/>
        <v>44743</v>
      </c>
      <c r="U205" s="181">
        <f t="shared" si="21"/>
        <v>5499997</v>
      </c>
      <c r="V205" s="182">
        <f t="shared" si="19"/>
        <v>5499997</v>
      </c>
      <c r="W205" s="245">
        <f t="shared" si="24"/>
        <v>2199.9899999999998</v>
      </c>
      <c r="X205" s="182"/>
    </row>
    <row r="206" spans="2:24">
      <c r="B206" s="214">
        <f t="shared" si="22"/>
        <v>46813</v>
      </c>
      <c r="C206" s="198">
        <f t="shared" si="20"/>
        <v>46784</v>
      </c>
      <c r="D206" s="209">
        <f>IF(B206&lt;'信用保険料計算書（上限2000万）'!$E$15,0,IF(B206&gt;'信用保険料計算書（上限2000万）'!$E$16,0,1))</f>
        <v>0</v>
      </c>
      <c r="E206" s="209">
        <f>IF(D206=1,HLOOKUP(C206,'計算書（第1回）'!$C$123:$U$124,2,TRUE),0)</f>
        <v>0</v>
      </c>
      <c r="F206" s="209">
        <f>IF('信用保険料計算書（上限2000万）'!$G$15="",0,IF($B206&lt;'信用保険料計算書（上限2000万）'!$G$15,0,IF($B206&gt;'信用保険料計算書（上限2000万）'!$G$16,0,1)))</f>
        <v>1</v>
      </c>
      <c r="G206" s="209">
        <f>IF(F206=1,HLOOKUP(C206,'計算書（第2回）'!$C$123:$U$124,2,TRUE),0)</f>
        <v>5499997</v>
      </c>
      <c r="H206" s="209">
        <f>IF('信用保険料計算書（上限2000万）'!$I$15="",0,IF($B206&lt;'信用保険料計算書（上限2000万）'!$I$15,0,IF($B206&gt;'信用保険料計算書（上限2000万）'!$I$16,0,1)))</f>
        <v>0</v>
      </c>
      <c r="I206" s="209">
        <f>IF(H206=1,HLOOKUP(C206,'計算書（第3回）'!$C$123:$U$124,2,TRUE),0)</f>
        <v>0</v>
      </c>
      <c r="J206" s="209">
        <f>IF('信用保険料計算書（上限2000万）'!$K$15="",0,IF($B206&lt;'信用保険料計算書（上限2000万）'!$K$15,0,IF($B206&gt;'信用保険料計算書（上限2000万）'!$K$16,0,1)))</f>
        <v>0</v>
      </c>
      <c r="K206" s="209">
        <f>IF(J206=1,HLOOKUP(C206,'計算書（第4回）'!$C$123:$U$124,2,TRUE),0)</f>
        <v>0</v>
      </c>
      <c r="L206" s="209">
        <f>IF('信用保険料計算書（上限2000万）'!$M$15="",0,IF($B206&lt;'信用保険料計算書（上限2000万）'!$M$15,0,IF($B206&gt;'信用保険料計算書（上限2000万）'!$M$16,0,1)))</f>
        <v>0</v>
      </c>
      <c r="M206" s="209">
        <f>IF(L206=1,HLOOKUP(C206,'計算書（第5回）'!$C$123:$U$124,2,TRUE),0)</f>
        <v>0</v>
      </c>
      <c r="N206" s="209">
        <f>IF('信用保険料計算書（上限2000万）'!$O$15="",0,IF($B206&lt;'信用保険料計算書（上限2000万）'!$O$15,0,IF($B206&gt;'信用保険料計算書（上限2000万）'!$O$16,0,1)))</f>
        <v>0</v>
      </c>
      <c r="O206" s="209">
        <f>IF(N206=1,HLOOKUP(C206,'計算書（第6回）'!$C$123:$U$124,2,TRUE),0)</f>
        <v>0</v>
      </c>
      <c r="P206" s="209">
        <f>IF('信用保険料計算書（上限2000万）'!$Q$15="",0,IF($B206&lt;'信用保険料計算書（上限2000万）'!$Q$15,0,IF($B206&gt;'信用保険料計算書（上限2000万）'!$Q$16,0,1)))</f>
        <v>0</v>
      </c>
      <c r="Q206" s="209">
        <f>IF(P206=1,HLOOKUP(C206,'計算書（第7回）'!$C$123:$U$124,2,TRUE),0)</f>
        <v>0</v>
      </c>
      <c r="R206" s="212"/>
      <c r="S206" s="211">
        <f>COUNTIF($AB$13:$AB$19,"&lt;=2028/3/1")</f>
        <v>2</v>
      </c>
      <c r="T206" s="178">
        <f t="shared" si="23"/>
        <v>44743</v>
      </c>
      <c r="U206" s="181">
        <f t="shared" si="21"/>
        <v>5499997</v>
      </c>
      <c r="V206" s="182">
        <f t="shared" si="19"/>
        <v>5499997</v>
      </c>
      <c r="W206" s="245">
        <f t="shared" si="24"/>
        <v>2199.9899999999998</v>
      </c>
      <c r="X206" s="183">
        <f>INT(SUM(W201:W206))</f>
        <v>13199</v>
      </c>
    </row>
    <row r="207" spans="2:24">
      <c r="B207" s="214">
        <f t="shared" si="22"/>
        <v>46844</v>
      </c>
      <c r="C207" s="198">
        <f t="shared" si="20"/>
        <v>46813</v>
      </c>
      <c r="D207" s="209">
        <f>IF(B207&lt;'信用保険料計算書（上限2000万）'!$E$15,0,IF(B207&gt;'信用保険料計算書（上限2000万）'!$E$16,0,1))</f>
        <v>0</v>
      </c>
      <c r="E207" s="209">
        <f>IF(D207=1,HLOOKUP(C207,'計算書（第1回）'!$C$123:$U$124,2,TRUE),0)</f>
        <v>0</v>
      </c>
      <c r="F207" s="209">
        <f>IF('信用保険料計算書（上限2000万）'!$G$15="",0,IF($B207&lt;'信用保険料計算書（上限2000万）'!$G$15,0,IF($B207&gt;'信用保険料計算書（上限2000万）'!$G$16,0,1)))</f>
        <v>1</v>
      </c>
      <c r="G207" s="209">
        <f>IF(F207=1,HLOOKUP(C207,'計算書（第2回）'!$C$123:$U$124,2,TRUE),0)</f>
        <v>3928569</v>
      </c>
      <c r="H207" s="209">
        <f>IF('信用保険料計算書（上限2000万）'!$I$15="",0,IF($B207&lt;'信用保険料計算書（上限2000万）'!$I$15,0,IF($B207&gt;'信用保険料計算書（上限2000万）'!$I$16,0,1)))</f>
        <v>0</v>
      </c>
      <c r="I207" s="209">
        <f>IF(H207=1,HLOOKUP(C207,'計算書（第3回）'!$C$123:$U$124,2,TRUE),0)</f>
        <v>0</v>
      </c>
      <c r="J207" s="209">
        <f>IF('信用保険料計算書（上限2000万）'!$K$15="",0,IF($B207&lt;'信用保険料計算書（上限2000万）'!$K$15,0,IF($B207&gt;'信用保険料計算書（上限2000万）'!$K$16,0,1)))</f>
        <v>0</v>
      </c>
      <c r="K207" s="209">
        <f>IF(J207=1,HLOOKUP(C207,'計算書（第4回）'!$C$123:$U$124,2,TRUE),0)</f>
        <v>0</v>
      </c>
      <c r="L207" s="209">
        <f>IF('信用保険料計算書（上限2000万）'!$M$15="",0,IF($B207&lt;'信用保険料計算書（上限2000万）'!$M$15,0,IF($B207&gt;'信用保険料計算書（上限2000万）'!$M$16,0,1)))</f>
        <v>0</v>
      </c>
      <c r="M207" s="209">
        <f>IF(L207=1,HLOOKUP(C207,'計算書（第5回）'!$C$123:$U$124,2,TRUE),0)</f>
        <v>0</v>
      </c>
      <c r="N207" s="209">
        <f>IF('信用保険料計算書（上限2000万）'!$O$15="",0,IF($B207&lt;'信用保険料計算書（上限2000万）'!$O$15,0,IF($B207&gt;'信用保険料計算書（上限2000万）'!$O$16,0,1)))</f>
        <v>0</v>
      </c>
      <c r="O207" s="209">
        <f>IF(N207=1,HLOOKUP(C207,'計算書（第6回）'!$C$123:$U$124,2,TRUE),0)</f>
        <v>0</v>
      </c>
      <c r="P207" s="209">
        <f>IF('信用保険料計算書（上限2000万）'!$Q$15="",0,IF($B207&lt;'信用保険料計算書（上限2000万）'!$Q$15,0,IF($B207&gt;'信用保険料計算書（上限2000万）'!$Q$16,0,1)))</f>
        <v>0</v>
      </c>
      <c r="Q207" s="209">
        <f>IF(P207=1,HLOOKUP(C207,'計算書（第7回）'!$C$123:$U$124,2,TRUE),0)</f>
        <v>0</v>
      </c>
      <c r="R207" s="212"/>
      <c r="S207" s="211">
        <f>COUNTIF($AB$13:$AB$19,"&lt;=2028/4/1")</f>
        <v>2</v>
      </c>
      <c r="T207" s="178">
        <f t="shared" si="23"/>
        <v>44743</v>
      </c>
      <c r="U207" s="181">
        <f t="shared" si="21"/>
        <v>3928569</v>
      </c>
      <c r="V207" s="182">
        <f t="shared" si="19"/>
        <v>3928569</v>
      </c>
      <c r="W207" s="245">
        <f t="shared" si="24"/>
        <v>1571.42</v>
      </c>
      <c r="X207" s="182"/>
    </row>
    <row r="208" spans="2:24">
      <c r="B208" s="214">
        <f t="shared" si="22"/>
        <v>46874</v>
      </c>
      <c r="C208" s="198">
        <f t="shared" si="20"/>
        <v>46844</v>
      </c>
      <c r="D208" s="209">
        <f>IF(B208&lt;'信用保険料計算書（上限2000万）'!$E$15,0,IF(B208&gt;'信用保険料計算書（上限2000万）'!$E$16,0,1))</f>
        <v>0</v>
      </c>
      <c r="E208" s="209">
        <f>IF(D208=1,HLOOKUP(C208,'計算書（第1回）'!$C$123:$U$124,2,TRUE),0)</f>
        <v>0</v>
      </c>
      <c r="F208" s="209">
        <f>IF('信用保険料計算書（上限2000万）'!$G$15="",0,IF($B208&lt;'信用保険料計算書（上限2000万）'!$G$15,0,IF($B208&gt;'信用保険料計算書（上限2000万）'!$G$16,0,1)))</f>
        <v>1</v>
      </c>
      <c r="G208" s="209">
        <f>IF(F208=1,HLOOKUP(C208,'計算書（第2回）'!$C$123:$U$124,2,TRUE),0)</f>
        <v>3928569</v>
      </c>
      <c r="H208" s="209">
        <f>IF('信用保険料計算書（上限2000万）'!$I$15="",0,IF($B208&lt;'信用保険料計算書（上限2000万）'!$I$15,0,IF($B208&gt;'信用保険料計算書（上限2000万）'!$I$16,0,1)))</f>
        <v>0</v>
      </c>
      <c r="I208" s="209">
        <f>IF(H208=1,HLOOKUP(C208,'計算書（第3回）'!$C$123:$U$124,2,TRUE),0)</f>
        <v>0</v>
      </c>
      <c r="J208" s="209">
        <f>IF('信用保険料計算書（上限2000万）'!$K$15="",0,IF($B208&lt;'信用保険料計算書（上限2000万）'!$K$15,0,IF($B208&gt;'信用保険料計算書（上限2000万）'!$K$16,0,1)))</f>
        <v>0</v>
      </c>
      <c r="K208" s="209">
        <f>IF(J208=1,HLOOKUP(C208,'計算書（第4回）'!$C$123:$U$124,2,TRUE),0)</f>
        <v>0</v>
      </c>
      <c r="L208" s="209">
        <f>IF('信用保険料計算書（上限2000万）'!$M$15="",0,IF($B208&lt;'信用保険料計算書（上限2000万）'!$M$15,0,IF($B208&gt;'信用保険料計算書（上限2000万）'!$M$16,0,1)))</f>
        <v>0</v>
      </c>
      <c r="M208" s="209">
        <f>IF(L208=1,HLOOKUP(C208,'計算書（第5回）'!$C$123:$U$124,2,TRUE),0)</f>
        <v>0</v>
      </c>
      <c r="N208" s="209">
        <f>IF('信用保険料計算書（上限2000万）'!$O$15="",0,IF($B208&lt;'信用保険料計算書（上限2000万）'!$O$15,0,IF($B208&gt;'信用保険料計算書（上限2000万）'!$O$16,0,1)))</f>
        <v>0</v>
      </c>
      <c r="O208" s="209">
        <f>IF(N208=1,HLOOKUP(C208,'計算書（第6回）'!$C$123:$U$124,2,TRUE),0)</f>
        <v>0</v>
      </c>
      <c r="P208" s="209">
        <f>IF('信用保険料計算書（上限2000万）'!$Q$15="",0,IF($B208&lt;'信用保険料計算書（上限2000万）'!$Q$15,0,IF($B208&gt;'信用保険料計算書（上限2000万）'!$Q$16,0,1)))</f>
        <v>0</v>
      </c>
      <c r="Q208" s="209">
        <f>IF(P208=1,HLOOKUP(C208,'計算書（第7回）'!$C$123:$U$124,2,TRUE),0)</f>
        <v>0</v>
      </c>
      <c r="R208" s="212"/>
      <c r="S208" s="211">
        <f>COUNTIF($AB$13:$AB$19,"&lt;=2028/5/1")</f>
        <v>2</v>
      </c>
      <c r="T208" s="178">
        <f t="shared" si="23"/>
        <v>44743</v>
      </c>
      <c r="U208" s="181">
        <f t="shared" si="21"/>
        <v>3928569</v>
      </c>
      <c r="V208" s="182">
        <f t="shared" si="19"/>
        <v>3928569</v>
      </c>
      <c r="W208" s="245">
        <f t="shared" si="24"/>
        <v>1571.42</v>
      </c>
      <c r="X208" s="182"/>
    </row>
    <row r="209" spans="2:24">
      <c r="B209" s="214">
        <f t="shared" si="22"/>
        <v>46905</v>
      </c>
      <c r="C209" s="198">
        <f t="shared" si="20"/>
        <v>46874</v>
      </c>
      <c r="D209" s="209">
        <f>IF(B209&lt;'信用保険料計算書（上限2000万）'!$E$15,0,IF(B209&gt;'信用保険料計算書（上限2000万）'!$E$16,0,1))</f>
        <v>0</v>
      </c>
      <c r="E209" s="209">
        <f>IF(D209=1,HLOOKUP(C209,'計算書（第1回）'!$C$123:$U$124,2,TRUE),0)</f>
        <v>0</v>
      </c>
      <c r="F209" s="209">
        <f>IF('信用保険料計算書（上限2000万）'!$G$15="",0,IF($B209&lt;'信用保険料計算書（上限2000万）'!$G$15,0,IF($B209&gt;'信用保険料計算書（上限2000万）'!$G$16,0,1)))</f>
        <v>1</v>
      </c>
      <c r="G209" s="209">
        <f>IF(F209=1,HLOOKUP(C209,'計算書（第2回）'!$C$123:$U$124,2,TRUE),0)</f>
        <v>3928569</v>
      </c>
      <c r="H209" s="209">
        <f>IF('信用保険料計算書（上限2000万）'!$I$15="",0,IF($B209&lt;'信用保険料計算書（上限2000万）'!$I$15,0,IF($B209&gt;'信用保険料計算書（上限2000万）'!$I$16,0,1)))</f>
        <v>0</v>
      </c>
      <c r="I209" s="209">
        <f>IF(H209=1,HLOOKUP(C209,'計算書（第3回）'!$C$123:$U$124,2,TRUE),0)</f>
        <v>0</v>
      </c>
      <c r="J209" s="209">
        <f>IF('信用保険料計算書（上限2000万）'!$K$15="",0,IF($B209&lt;'信用保険料計算書（上限2000万）'!$K$15,0,IF($B209&gt;'信用保険料計算書（上限2000万）'!$K$16,0,1)))</f>
        <v>0</v>
      </c>
      <c r="K209" s="209">
        <f>IF(J209=1,HLOOKUP(C209,'計算書（第4回）'!$C$123:$U$124,2,TRUE),0)</f>
        <v>0</v>
      </c>
      <c r="L209" s="209">
        <f>IF('信用保険料計算書（上限2000万）'!$M$15="",0,IF($B209&lt;'信用保険料計算書（上限2000万）'!$M$15,0,IF($B209&gt;'信用保険料計算書（上限2000万）'!$M$16,0,1)))</f>
        <v>0</v>
      </c>
      <c r="M209" s="209">
        <f>IF(L209=1,HLOOKUP(C209,'計算書（第5回）'!$C$123:$U$124,2,TRUE),0)</f>
        <v>0</v>
      </c>
      <c r="N209" s="209">
        <f>IF('信用保険料計算書（上限2000万）'!$O$15="",0,IF($B209&lt;'信用保険料計算書（上限2000万）'!$O$15,0,IF($B209&gt;'信用保険料計算書（上限2000万）'!$O$16,0,1)))</f>
        <v>0</v>
      </c>
      <c r="O209" s="209">
        <f>IF(N209=1,HLOOKUP(C209,'計算書（第6回）'!$C$123:$U$124,2,TRUE),0)</f>
        <v>0</v>
      </c>
      <c r="P209" s="209">
        <f>IF('信用保険料計算書（上限2000万）'!$Q$15="",0,IF($B209&lt;'信用保険料計算書（上限2000万）'!$Q$15,0,IF($B209&gt;'信用保険料計算書（上限2000万）'!$Q$16,0,1)))</f>
        <v>0</v>
      </c>
      <c r="Q209" s="209">
        <f>IF(P209=1,HLOOKUP(C209,'計算書（第7回）'!$C$123:$U$124,2,TRUE),0)</f>
        <v>0</v>
      </c>
      <c r="R209" s="212"/>
      <c r="S209" s="211">
        <f>COUNTIF($AB$13:$AB$19,"&lt;=2028/6/1")</f>
        <v>2</v>
      </c>
      <c r="T209" s="178">
        <f t="shared" si="23"/>
        <v>44743</v>
      </c>
      <c r="U209" s="181">
        <f t="shared" si="21"/>
        <v>3928569</v>
      </c>
      <c r="V209" s="182">
        <f t="shared" si="19"/>
        <v>3928569</v>
      </c>
      <c r="W209" s="245">
        <f t="shared" si="24"/>
        <v>1571.42</v>
      </c>
      <c r="X209" s="182"/>
    </row>
    <row r="210" spans="2:24">
      <c r="B210" s="214">
        <f t="shared" si="22"/>
        <v>46935</v>
      </c>
      <c r="C210" s="198">
        <f t="shared" si="20"/>
        <v>46905</v>
      </c>
      <c r="D210" s="209">
        <f>IF(B210&lt;'信用保険料計算書（上限2000万）'!$E$15,0,IF(B210&gt;'信用保険料計算書（上限2000万）'!$E$16,0,1))</f>
        <v>0</v>
      </c>
      <c r="E210" s="209">
        <f>IF(D210=1,HLOOKUP(C210,'計算書（第1回）'!$C$123:$U$124,2,TRUE),0)</f>
        <v>0</v>
      </c>
      <c r="F210" s="209">
        <f>IF('信用保険料計算書（上限2000万）'!$G$15="",0,IF($B210&lt;'信用保険料計算書（上限2000万）'!$G$15,0,IF($B210&gt;'信用保険料計算書（上限2000万）'!$G$16,0,1)))</f>
        <v>1</v>
      </c>
      <c r="G210" s="209">
        <f>IF(F210=1,HLOOKUP(C210,'計算書（第2回）'!$C$123:$U$124,2,TRUE),0)</f>
        <v>3928569</v>
      </c>
      <c r="H210" s="209">
        <f>IF('信用保険料計算書（上限2000万）'!$I$15="",0,IF($B210&lt;'信用保険料計算書（上限2000万）'!$I$15,0,IF($B210&gt;'信用保険料計算書（上限2000万）'!$I$16,0,1)))</f>
        <v>0</v>
      </c>
      <c r="I210" s="209">
        <f>IF(H210=1,HLOOKUP(C210,'計算書（第3回）'!$C$123:$U$124,2,TRUE),0)</f>
        <v>0</v>
      </c>
      <c r="J210" s="209">
        <f>IF('信用保険料計算書（上限2000万）'!$K$15="",0,IF($B210&lt;'信用保険料計算書（上限2000万）'!$K$15,0,IF($B210&gt;'信用保険料計算書（上限2000万）'!$K$16,0,1)))</f>
        <v>0</v>
      </c>
      <c r="K210" s="209">
        <f>IF(J210=1,HLOOKUP(C210,'計算書（第4回）'!$C$123:$U$124,2,TRUE),0)</f>
        <v>0</v>
      </c>
      <c r="L210" s="209">
        <f>IF('信用保険料計算書（上限2000万）'!$M$15="",0,IF($B210&lt;'信用保険料計算書（上限2000万）'!$M$15,0,IF($B210&gt;'信用保険料計算書（上限2000万）'!$M$16,0,1)))</f>
        <v>0</v>
      </c>
      <c r="M210" s="209">
        <f>IF(L210=1,HLOOKUP(C210,'計算書（第5回）'!$C$123:$U$124,2,TRUE),0)</f>
        <v>0</v>
      </c>
      <c r="N210" s="209">
        <f>IF('信用保険料計算書（上限2000万）'!$O$15="",0,IF($B210&lt;'信用保険料計算書（上限2000万）'!$O$15,0,IF($B210&gt;'信用保険料計算書（上限2000万）'!$O$16,0,1)))</f>
        <v>0</v>
      </c>
      <c r="O210" s="209">
        <f>IF(N210=1,HLOOKUP(C210,'計算書（第6回）'!$C$123:$U$124,2,TRUE),0)</f>
        <v>0</v>
      </c>
      <c r="P210" s="209">
        <f>IF('信用保険料計算書（上限2000万）'!$Q$15="",0,IF($B210&lt;'信用保険料計算書（上限2000万）'!$Q$15,0,IF($B210&gt;'信用保険料計算書（上限2000万）'!$Q$16,0,1)))</f>
        <v>0</v>
      </c>
      <c r="Q210" s="209">
        <f>IF(P210=1,HLOOKUP(C210,'計算書（第7回）'!$C$123:$U$124,2,TRUE),0)</f>
        <v>0</v>
      </c>
      <c r="R210" s="212"/>
      <c r="S210" s="211">
        <f>COUNTIF($AB$13:$AB$19,"&lt;=2028/7/1")</f>
        <v>2</v>
      </c>
      <c r="T210" s="178">
        <f t="shared" si="23"/>
        <v>44743</v>
      </c>
      <c r="U210" s="181">
        <f t="shared" si="21"/>
        <v>3928569</v>
      </c>
      <c r="V210" s="182">
        <f t="shared" si="19"/>
        <v>3928569</v>
      </c>
      <c r="W210" s="245">
        <f t="shared" si="24"/>
        <v>1571.42</v>
      </c>
      <c r="X210" s="182"/>
    </row>
    <row r="211" spans="2:24">
      <c r="B211" s="214">
        <f t="shared" si="22"/>
        <v>46966</v>
      </c>
      <c r="C211" s="198">
        <f t="shared" si="20"/>
        <v>46935</v>
      </c>
      <c r="D211" s="209">
        <f>IF(B211&lt;'信用保険料計算書（上限2000万）'!$E$15,0,IF(B211&gt;'信用保険料計算書（上限2000万）'!$E$16,0,1))</f>
        <v>0</v>
      </c>
      <c r="E211" s="209">
        <f>IF(D211=1,HLOOKUP(C211,'計算書（第1回）'!$C$123:$U$124,2,TRUE),0)</f>
        <v>0</v>
      </c>
      <c r="F211" s="209">
        <f>IF('信用保険料計算書（上限2000万）'!$G$15="",0,IF($B211&lt;'信用保険料計算書（上限2000万）'!$G$15,0,IF($B211&gt;'信用保険料計算書（上限2000万）'!$G$16,0,1)))</f>
        <v>1</v>
      </c>
      <c r="G211" s="209">
        <f>IF(F211=1,HLOOKUP(C211,'計算書（第2回）'!$C$123:$U$124,2,TRUE),0)</f>
        <v>3928569</v>
      </c>
      <c r="H211" s="209">
        <f>IF('信用保険料計算書（上限2000万）'!$I$15="",0,IF($B211&lt;'信用保険料計算書（上限2000万）'!$I$15,0,IF($B211&gt;'信用保険料計算書（上限2000万）'!$I$16,0,1)))</f>
        <v>0</v>
      </c>
      <c r="I211" s="209">
        <f>IF(H211=1,HLOOKUP(C211,'計算書（第3回）'!$C$123:$U$124,2,TRUE),0)</f>
        <v>0</v>
      </c>
      <c r="J211" s="209">
        <f>IF('信用保険料計算書（上限2000万）'!$K$15="",0,IF($B211&lt;'信用保険料計算書（上限2000万）'!$K$15,0,IF($B211&gt;'信用保険料計算書（上限2000万）'!$K$16,0,1)))</f>
        <v>0</v>
      </c>
      <c r="K211" s="209">
        <f>IF(J211=1,HLOOKUP(C211,'計算書（第4回）'!$C$123:$U$124,2,TRUE),0)</f>
        <v>0</v>
      </c>
      <c r="L211" s="209">
        <f>IF('信用保険料計算書（上限2000万）'!$M$15="",0,IF($B211&lt;'信用保険料計算書（上限2000万）'!$M$15,0,IF($B211&gt;'信用保険料計算書（上限2000万）'!$M$16,0,1)))</f>
        <v>0</v>
      </c>
      <c r="M211" s="209">
        <f>IF(L211=1,HLOOKUP(C211,'計算書（第5回）'!$C$123:$U$124,2,TRUE),0)</f>
        <v>0</v>
      </c>
      <c r="N211" s="209">
        <f>IF('信用保険料計算書（上限2000万）'!$O$15="",0,IF($B211&lt;'信用保険料計算書（上限2000万）'!$O$15,0,IF($B211&gt;'信用保険料計算書（上限2000万）'!$O$16,0,1)))</f>
        <v>0</v>
      </c>
      <c r="O211" s="209">
        <f>IF(N211=1,HLOOKUP(C211,'計算書（第6回）'!$C$123:$U$124,2,TRUE),0)</f>
        <v>0</v>
      </c>
      <c r="P211" s="209">
        <f>IF('信用保険料計算書（上限2000万）'!$Q$15="",0,IF($B211&lt;'信用保険料計算書（上限2000万）'!$Q$15,0,IF($B211&gt;'信用保険料計算書（上限2000万）'!$Q$16,0,1)))</f>
        <v>0</v>
      </c>
      <c r="Q211" s="209">
        <f>IF(P211=1,HLOOKUP(C211,'計算書（第7回）'!$C$123:$U$124,2,TRUE),0)</f>
        <v>0</v>
      </c>
      <c r="R211" s="212"/>
      <c r="S211" s="211">
        <f>COUNTIF($AB$13:$AB$19,"&lt;=2028/8/1")</f>
        <v>2</v>
      </c>
      <c r="T211" s="178">
        <f t="shared" si="23"/>
        <v>44743</v>
      </c>
      <c r="U211" s="181">
        <f t="shared" si="21"/>
        <v>3928569</v>
      </c>
      <c r="V211" s="182">
        <f t="shared" si="19"/>
        <v>3928569</v>
      </c>
      <c r="W211" s="245">
        <f t="shared" si="24"/>
        <v>1571.42</v>
      </c>
      <c r="X211" s="182"/>
    </row>
    <row r="212" spans="2:24">
      <c r="B212" s="214">
        <f t="shared" si="22"/>
        <v>46997</v>
      </c>
      <c r="C212" s="198">
        <f t="shared" si="20"/>
        <v>46966</v>
      </c>
      <c r="D212" s="209">
        <f>IF(B212&lt;'信用保険料計算書（上限2000万）'!$E$15,0,IF(B212&gt;'信用保険料計算書（上限2000万）'!$E$16,0,1))</f>
        <v>0</v>
      </c>
      <c r="E212" s="209">
        <f>IF(D212=1,HLOOKUP(C212,'計算書（第1回）'!$C$123:$U$124,2,TRUE),0)</f>
        <v>0</v>
      </c>
      <c r="F212" s="209">
        <f>IF('信用保険料計算書（上限2000万）'!$G$15="",0,IF($B212&lt;'信用保険料計算書（上限2000万）'!$G$15,0,IF($B212&gt;'信用保険料計算書（上限2000万）'!$G$16,0,1)))</f>
        <v>1</v>
      </c>
      <c r="G212" s="209">
        <f>IF(F212=1,HLOOKUP(C212,'計算書（第2回）'!$C$123:$U$124,2,TRUE),0)</f>
        <v>3928569</v>
      </c>
      <c r="H212" s="209">
        <f>IF('信用保険料計算書（上限2000万）'!$I$15="",0,IF($B212&lt;'信用保険料計算書（上限2000万）'!$I$15,0,IF($B212&gt;'信用保険料計算書（上限2000万）'!$I$16,0,1)))</f>
        <v>0</v>
      </c>
      <c r="I212" s="209">
        <f>IF(H212=1,HLOOKUP(C212,'計算書（第3回）'!$C$123:$U$124,2,TRUE),0)</f>
        <v>0</v>
      </c>
      <c r="J212" s="209">
        <f>IF('信用保険料計算書（上限2000万）'!$K$15="",0,IF($B212&lt;'信用保険料計算書（上限2000万）'!$K$15,0,IF($B212&gt;'信用保険料計算書（上限2000万）'!$K$16,0,1)))</f>
        <v>0</v>
      </c>
      <c r="K212" s="209">
        <f>IF(J212=1,HLOOKUP(C212,'計算書（第4回）'!$C$123:$U$124,2,TRUE),0)</f>
        <v>0</v>
      </c>
      <c r="L212" s="209">
        <f>IF('信用保険料計算書（上限2000万）'!$M$15="",0,IF($B212&lt;'信用保険料計算書（上限2000万）'!$M$15,0,IF($B212&gt;'信用保険料計算書（上限2000万）'!$M$16,0,1)))</f>
        <v>0</v>
      </c>
      <c r="M212" s="209">
        <f>IF(L212=1,HLOOKUP(C212,'計算書（第5回）'!$C$123:$U$124,2,TRUE),0)</f>
        <v>0</v>
      </c>
      <c r="N212" s="209">
        <f>IF('信用保険料計算書（上限2000万）'!$O$15="",0,IF($B212&lt;'信用保険料計算書（上限2000万）'!$O$15,0,IF($B212&gt;'信用保険料計算書（上限2000万）'!$O$16,0,1)))</f>
        <v>0</v>
      </c>
      <c r="O212" s="209">
        <f>IF(N212=1,HLOOKUP(C212,'計算書（第6回）'!$C$123:$U$124,2,TRUE),0)</f>
        <v>0</v>
      </c>
      <c r="P212" s="209">
        <f>IF('信用保険料計算書（上限2000万）'!$Q$15="",0,IF($B212&lt;'信用保険料計算書（上限2000万）'!$Q$15,0,IF($B212&gt;'信用保険料計算書（上限2000万）'!$Q$16,0,1)))</f>
        <v>0</v>
      </c>
      <c r="Q212" s="209">
        <f>IF(P212=1,HLOOKUP(C212,'計算書（第7回）'!$C$123:$U$124,2,TRUE),0)</f>
        <v>0</v>
      </c>
      <c r="R212" s="212"/>
      <c r="S212" s="211">
        <f>COUNTIF($AB$13:$AB$19,"&lt;=2028/9/1")</f>
        <v>2</v>
      </c>
      <c r="T212" s="178">
        <f t="shared" si="23"/>
        <v>44743</v>
      </c>
      <c r="U212" s="181">
        <f t="shared" si="21"/>
        <v>3928569</v>
      </c>
      <c r="V212" s="182">
        <f t="shared" si="19"/>
        <v>3928569</v>
      </c>
      <c r="W212" s="245">
        <f t="shared" si="24"/>
        <v>1571.42</v>
      </c>
      <c r="X212" s="183">
        <f>INT(SUM(W207:W212))</f>
        <v>9428</v>
      </c>
    </row>
    <row r="213" spans="2:24">
      <c r="B213" s="214">
        <f t="shared" si="22"/>
        <v>47027</v>
      </c>
      <c r="C213" s="198">
        <f t="shared" si="20"/>
        <v>46997</v>
      </c>
      <c r="D213" s="209">
        <f>IF(B213&lt;'信用保険料計算書（上限2000万）'!$E$15,0,IF(B213&gt;'信用保険料計算書（上限2000万）'!$E$16,0,1))</f>
        <v>0</v>
      </c>
      <c r="E213" s="209">
        <f>IF(D213=1,HLOOKUP(C213,'計算書（第1回）'!$C$123:$U$124,2,TRUE),0)</f>
        <v>0</v>
      </c>
      <c r="F213" s="209">
        <f>IF('信用保険料計算書（上限2000万）'!$G$15="",0,IF($B213&lt;'信用保険料計算書（上限2000万）'!$G$15,0,IF($B213&gt;'信用保険料計算書（上限2000万）'!$G$16,0,1)))</f>
        <v>1</v>
      </c>
      <c r="G213" s="209">
        <f>IF(F213=1,HLOOKUP(C213,'計算書（第2回）'!$C$123:$U$124,2,TRUE),0)</f>
        <v>2357141</v>
      </c>
      <c r="H213" s="209">
        <f>IF('信用保険料計算書（上限2000万）'!$I$15="",0,IF($B213&lt;'信用保険料計算書（上限2000万）'!$I$15,0,IF($B213&gt;'信用保険料計算書（上限2000万）'!$I$16,0,1)))</f>
        <v>0</v>
      </c>
      <c r="I213" s="209">
        <f>IF(H213=1,HLOOKUP(C213,'計算書（第3回）'!$C$123:$U$124,2,TRUE),0)</f>
        <v>0</v>
      </c>
      <c r="J213" s="209">
        <f>IF('信用保険料計算書（上限2000万）'!$K$15="",0,IF($B213&lt;'信用保険料計算書（上限2000万）'!$K$15,0,IF($B213&gt;'信用保険料計算書（上限2000万）'!$K$16,0,1)))</f>
        <v>0</v>
      </c>
      <c r="K213" s="209">
        <f>IF(J213=1,HLOOKUP(C213,'計算書（第4回）'!$C$123:$U$124,2,TRUE),0)</f>
        <v>0</v>
      </c>
      <c r="L213" s="209">
        <f>IF('信用保険料計算書（上限2000万）'!$M$15="",0,IF($B213&lt;'信用保険料計算書（上限2000万）'!$M$15,0,IF($B213&gt;'信用保険料計算書（上限2000万）'!$M$16,0,1)))</f>
        <v>0</v>
      </c>
      <c r="M213" s="209">
        <f>IF(L213=1,HLOOKUP(C213,'計算書（第5回）'!$C$123:$U$124,2,TRUE),0)</f>
        <v>0</v>
      </c>
      <c r="N213" s="209">
        <f>IF('信用保険料計算書（上限2000万）'!$O$15="",0,IF($B213&lt;'信用保険料計算書（上限2000万）'!$O$15,0,IF($B213&gt;'信用保険料計算書（上限2000万）'!$O$16,0,1)))</f>
        <v>0</v>
      </c>
      <c r="O213" s="209">
        <f>IF(N213=1,HLOOKUP(C213,'計算書（第6回）'!$C$123:$U$124,2,TRUE),0)</f>
        <v>0</v>
      </c>
      <c r="P213" s="209">
        <f>IF('信用保険料計算書（上限2000万）'!$Q$15="",0,IF($B213&lt;'信用保険料計算書（上限2000万）'!$Q$15,0,IF($B213&gt;'信用保険料計算書（上限2000万）'!$Q$16,0,1)))</f>
        <v>0</v>
      </c>
      <c r="Q213" s="209">
        <f>IF(P213=1,HLOOKUP(C213,'計算書（第7回）'!$C$123:$U$124,2,TRUE),0)</f>
        <v>0</v>
      </c>
      <c r="R213" s="212"/>
      <c r="S213" s="211">
        <f>COUNTIF($AB$13:$AB$19,"&lt;=2028/10/1")</f>
        <v>2</v>
      </c>
      <c r="T213" s="178">
        <f t="shared" si="23"/>
        <v>44743</v>
      </c>
      <c r="U213" s="181">
        <f t="shared" si="21"/>
        <v>2357141</v>
      </c>
      <c r="V213" s="182">
        <f t="shared" si="19"/>
        <v>2357141</v>
      </c>
      <c r="W213" s="245">
        <f t="shared" si="24"/>
        <v>942.85</v>
      </c>
      <c r="X213" s="182"/>
    </row>
    <row r="214" spans="2:24">
      <c r="B214" s="214">
        <f t="shared" si="22"/>
        <v>47058</v>
      </c>
      <c r="C214" s="198">
        <f t="shared" si="20"/>
        <v>47027</v>
      </c>
      <c r="D214" s="209">
        <f>IF(B214&lt;'信用保険料計算書（上限2000万）'!$E$15,0,IF(B214&gt;'信用保険料計算書（上限2000万）'!$E$16,0,1))</f>
        <v>0</v>
      </c>
      <c r="E214" s="209">
        <f>IF(D214=1,HLOOKUP(C214,'計算書（第1回）'!$C$123:$U$124,2,TRUE),0)</f>
        <v>0</v>
      </c>
      <c r="F214" s="209">
        <f>IF('信用保険料計算書（上限2000万）'!$G$15="",0,IF($B214&lt;'信用保険料計算書（上限2000万）'!$G$15,0,IF($B214&gt;'信用保険料計算書（上限2000万）'!$G$16,0,1)))</f>
        <v>1</v>
      </c>
      <c r="G214" s="209">
        <f>IF(F214=1,HLOOKUP(C214,'計算書（第2回）'!$C$123:$U$124,2,TRUE),0)</f>
        <v>2357141</v>
      </c>
      <c r="H214" s="209">
        <f>IF('信用保険料計算書（上限2000万）'!$I$15="",0,IF($B214&lt;'信用保険料計算書（上限2000万）'!$I$15,0,IF($B214&gt;'信用保険料計算書（上限2000万）'!$I$16,0,1)))</f>
        <v>0</v>
      </c>
      <c r="I214" s="209">
        <f>IF(H214=1,HLOOKUP(C214,'計算書（第3回）'!$C$123:$U$124,2,TRUE),0)</f>
        <v>0</v>
      </c>
      <c r="J214" s="209">
        <f>IF('信用保険料計算書（上限2000万）'!$K$15="",0,IF($B214&lt;'信用保険料計算書（上限2000万）'!$K$15,0,IF($B214&gt;'信用保険料計算書（上限2000万）'!$K$16,0,1)))</f>
        <v>0</v>
      </c>
      <c r="K214" s="209">
        <f>IF(J214=1,HLOOKUP(C214,'計算書（第4回）'!$C$123:$U$124,2,TRUE),0)</f>
        <v>0</v>
      </c>
      <c r="L214" s="209">
        <f>IF('信用保険料計算書（上限2000万）'!$M$15="",0,IF($B214&lt;'信用保険料計算書（上限2000万）'!$M$15,0,IF($B214&gt;'信用保険料計算書（上限2000万）'!$M$16,0,1)))</f>
        <v>0</v>
      </c>
      <c r="M214" s="209">
        <f>IF(L214=1,HLOOKUP(C214,'計算書（第5回）'!$C$123:$U$124,2,TRUE),0)</f>
        <v>0</v>
      </c>
      <c r="N214" s="209">
        <f>IF('信用保険料計算書（上限2000万）'!$O$15="",0,IF($B214&lt;'信用保険料計算書（上限2000万）'!$O$15,0,IF($B214&gt;'信用保険料計算書（上限2000万）'!$O$16,0,1)))</f>
        <v>0</v>
      </c>
      <c r="O214" s="209">
        <f>IF(N214=1,HLOOKUP(C214,'計算書（第6回）'!$C$123:$U$124,2,TRUE),0)</f>
        <v>0</v>
      </c>
      <c r="P214" s="209">
        <f>IF('信用保険料計算書（上限2000万）'!$Q$15="",0,IF($B214&lt;'信用保険料計算書（上限2000万）'!$Q$15,0,IF($B214&gt;'信用保険料計算書（上限2000万）'!$Q$16,0,1)))</f>
        <v>0</v>
      </c>
      <c r="Q214" s="209">
        <f>IF(P214=1,HLOOKUP(C214,'計算書（第7回）'!$C$123:$U$124,2,TRUE),0)</f>
        <v>0</v>
      </c>
      <c r="R214" s="212"/>
      <c r="S214" s="211">
        <f>COUNTIF($AB$13:$AB$19,"&lt;=2028/11/1")</f>
        <v>2</v>
      </c>
      <c r="T214" s="178">
        <f t="shared" si="23"/>
        <v>44743</v>
      </c>
      <c r="U214" s="181">
        <f t="shared" si="21"/>
        <v>2357141</v>
      </c>
      <c r="V214" s="182">
        <f t="shared" si="19"/>
        <v>2357141</v>
      </c>
      <c r="W214" s="245">
        <f t="shared" si="24"/>
        <v>942.85</v>
      </c>
      <c r="X214" s="182"/>
    </row>
    <row r="215" spans="2:24">
      <c r="B215" s="214">
        <f t="shared" si="22"/>
        <v>47088</v>
      </c>
      <c r="C215" s="198">
        <f t="shared" si="20"/>
        <v>47058</v>
      </c>
      <c r="D215" s="209">
        <f>IF(B215&lt;'信用保険料計算書（上限2000万）'!$E$15,0,IF(B215&gt;'信用保険料計算書（上限2000万）'!$E$16,0,1))</f>
        <v>0</v>
      </c>
      <c r="E215" s="209">
        <f>IF(D215=1,HLOOKUP(C215,'計算書（第1回）'!$C$123:$U$124,2,TRUE),0)</f>
        <v>0</v>
      </c>
      <c r="F215" s="209">
        <f>IF('信用保険料計算書（上限2000万）'!$G$15="",0,IF($B215&lt;'信用保険料計算書（上限2000万）'!$G$15,0,IF($B215&gt;'信用保険料計算書（上限2000万）'!$G$16,0,1)))</f>
        <v>1</v>
      </c>
      <c r="G215" s="209">
        <f>IF(F215=1,HLOOKUP(C215,'計算書（第2回）'!$C$123:$U$124,2,TRUE),0)</f>
        <v>2357141</v>
      </c>
      <c r="H215" s="209">
        <f>IF('信用保険料計算書（上限2000万）'!$I$15="",0,IF($B215&lt;'信用保険料計算書（上限2000万）'!$I$15,0,IF($B215&gt;'信用保険料計算書（上限2000万）'!$I$16,0,1)))</f>
        <v>0</v>
      </c>
      <c r="I215" s="209">
        <f>IF(H215=1,HLOOKUP(C215,'計算書（第3回）'!$C$123:$U$124,2,TRUE),0)</f>
        <v>0</v>
      </c>
      <c r="J215" s="209">
        <f>IF('信用保険料計算書（上限2000万）'!$K$15="",0,IF($B215&lt;'信用保険料計算書（上限2000万）'!$K$15,0,IF($B215&gt;'信用保険料計算書（上限2000万）'!$K$16,0,1)))</f>
        <v>0</v>
      </c>
      <c r="K215" s="209">
        <f>IF(J215=1,HLOOKUP(C215,'計算書（第4回）'!$C$123:$U$124,2,TRUE),0)</f>
        <v>0</v>
      </c>
      <c r="L215" s="209">
        <f>IF('信用保険料計算書（上限2000万）'!$M$15="",0,IF($B215&lt;'信用保険料計算書（上限2000万）'!$M$15,0,IF($B215&gt;'信用保険料計算書（上限2000万）'!$M$16,0,1)))</f>
        <v>0</v>
      </c>
      <c r="M215" s="209">
        <f>IF(L215=1,HLOOKUP(C215,'計算書（第5回）'!$C$123:$U$124,2,TRUE),0)</f>
        <v>0</v>
      </c>
      <c r="N215" s="209">
        <f>IF('信用保険料計算書（上限2000万）'!$O$15="",0,IF($B215&lt;'信用保険料計算書（上限2000万）'!$O$15,0,IF($B215&gt;'信用保険料計算書（上限2000万）'!$O$16,0,1)))</f>
        <v>0</v>
      </c>
      <c r="O215" s="209">
        <f>IF(N215=1,HLOOKUP(C215,'計算書（第6回）'!$C$123:$U$124,2,TRUE),0)</f>
        <v>0</v>
      </c>
      <c r="P215" s="209">
        <f>IF('信用保険料計算書（上限2000万）'!$Q$15="",0,IF($B215&lt;'信用保険料計算書（上限2000万）'!$Q$15,0,IF($B215&gt;'信用保険料計算書（上限2000万）'!$Q$16,0,1)))</f>
        <v>0</v>
      </c>
      <c r="Q215" s="209">
        <f>IF(P215=1,HLOOKUP(C215,'計算書（第7回）'!$C$123:$U$124,2,TRUE),0)</f>
        <v>0</v>
      </c>
      <c r="R215" s="212"/>
      <c r="S215" s="211">
        <f>COUNTIF($AB$13:$AB$19,"&lt;=2028/12/1")</f>
        <v>2</v>
      </c>
      <c r="T215" s="178">
        <f t="shared" si="23"/>
        <v>44743</v>
      </c>
      <c r="U215" s="181">
        <f t="shared" si="21"/>
        <v>2357141</v>
      </c>
      <c r="V215" s="182">
        <f t="shared" si="19"/>
        <v>2357141</v>
      </c>
      <c r="W215" s="245">
        <f t="shared" si="24"/>
        <v>942.85</v>
      </c>
      <c r="X215" s="182"/>
    </row>
    <row r="216" spans="2:24">
      <c r="B216" s="214">
        <f t="shared" si="22"/>
        <v>47119</v>
      </c>
      <c r="C216" s="198">
        <f t="shared" si="20"/>
        <v>47088</v>
      </c>
      <c r="D216" s="209">
        <f>IF(B216&lt;'信用保険料計算書（上限2000万）'!$E$15,0,IF(B216&gt;'信用保険料計算書（上限2000万）'!$E$16,0,1))</f>
        <v>0</v>
      </c>
      <c r="E216" s="209">
        <f>IF(D216=1,HLOOKUP(C216,'計算書（第1回）'!$C$123:$U$124,2,TRUE),0)</f>
        <v>0</v>
      </c>
      <c r="F216" s="209">
        <f>IF('信用保険料計算書（上限2000万）'!$G$15="",0,IF($B216&lt;'信用保険料計算書（上限2000万）'!$G$15,0,IF($B216&gt;'信用保険料計算書（上限2000万）'!$G$16,0,1)))</f>
        <v>1</v>
      </c>
      <c r="G216" s="209">
        <f>IF(F216=1,HLOOKUP(C216,'計算書（第2回）'!$C$123:$U$124,2,TRUE),0)</f>
        <v>2357141</v>
      </c>
      <c r="H216" s="209">
        <f>IF('信用保険料計算書（上限2000万）'!$I$15="",0,IF($B216&lt;'信用保険料計算書（上限2000万）'!$I$15,0,IF($B216&gt;'信用保険料計算書（上限2000万）'!$I$16,0,1)))</f>
        <v>0</v>
      </c>
      <c r="I216" s="209">
        <f>IF(H216=1,HLOOKUP(C216,'計算書（第3回）'!$C$123:$U$124,2,TRUE),0)</f>
        <v>0</v>
      </c>
      <c r="J216" s="209">
        <f>IF('信用保険料計算書（上限2000万）'!$K$15="",0,IF($B216&lt;'信用保険料計算書（上限2000万）'!$K$15,0,IF($B216&gt;'信用保険料計算書（上限2000万）'!$K$16,0,1)))</f>
        <v>0</v>
      </c>
      <c r="K216" s="209">
        <f>IF(J216=1,HLOOKUP(C216,'計算書（第4回）'!$C$123:$U$124,2,TRUE),0)</f>
        <v>0</v>
      </c>
      <c r="L216" s="209">
        <f>IF('信用保険料計算書（上限2000万）'!$M$15="",0,IF($B216&lt;'信用保険料計算書（上限2000万）'!$M$15,0,IF($B216&gt;'信用保険料計算書（上限2000万）'!$M$16,0,1)))</f>
        <v>0</v>
      </c>
      <c r="M216" s="209">
        <f>IF(L216=1,HLOOKUP(C216,'計算書（第5回）'!$C$123:$U$124,2,TRUE),0)</f>
        <v>0</v>
      </c>
      <c r="N216" s="209">
        <f>IF('信用保険料計算書（上限2000万）'!$O$15="",0,IF($B216&lt;'信用保険料計算書（上限2000万）'!$O$15,0,IF($B216&gt;'信用保険料計算書（上限2000万）'!$O$16,0,1)))</f>
        <v>0</v>
      </c>
      <c r="O216" s="209">
        <f>IF(N216=1,HLOOKUP(C216,'計算書（第6回）'!$C$123:$U$124,2,TRUE),0)</f>
        <v>0</v>
      </c>
      <c r="P216" s="209">
        <f>IF('信用保険料計算書（上限2000万）'!$Q$15="",0,IF($B216&lt;'信用保険料計算書（上限2000万）'!$Q$15,0,IF($B216&gt;'信用保険料計算書（上限2000万）'!$Q$16,0,1)))</f>
        <v>0</v>
      </c>
      <c r="Q216" s="209">
        <f>IF(P216=1,HLOOKUP(C216,'計算書（第7回）'!$C$123:$U$124,2,TRUE),0)</f>
        <v>0</v>
      </c>
      <c r="R216" s="213"/>
      <c r="S216" s="211">
        <f>COUNTIF($AB$13:$AB$19,"&lt;=2029/1/1")</f>
        <v>2</v>
      </c>
      <c r="T216" s="178">
        <f t="shared" si="23"/>
        <v>44743</v>
      </c>
      <c r="U216" s="181">
        <f t="shared" si="21"/>
        <v>2357141</v>
      </c>
      <c r="V216" s="182">
        <f t="shared" si="19"/>
        <v>2357141</v>
      </c>
      <c r="W216" s="245">
        <f t="shared" si="24"/>
        <v>942.85</v>
      </c>
      <c r="X216" s="182"/>
    </row>
    <row r="217" spans="2:24">
      <c r="B217" s="214">
        <f t="shared" si="22"/>
        <v>47150</v>
      </c>
      <c r="C217" s="198">
        <f t="shared" si="20"/>
        <v>47119</v>
      </c>
      <c r="D217" s="209">
        <f>IF(B217&lt;'信用保険料計算書（上限2000万）'!$E$15,0,IF(B217&gt;'信用保険料計算書（上限2000万）'!$E$16,0,1))</f>
        <v>0</v>
      </c>
      <c r="E217" s="209">
        <f>IF(D217=1,HLOOKUP(C217,'計算書（第1回）'!$C$123:$U$124,2,TRUE),0)</f>
        <v>0</v>
      </c>
      <c r="F217" s="209">
        <f>IF('信用保険料計算書（上限2000万）'!$G$15="",0,IF($B217&lt;'信用保険料計算書（上限2000万）'!$G$15,0,IF($B217&gt;'信用保険料計算書（上限2000万）'!$G$16,0,1)))</f>
        <v>1</v>
      </c>
      <c r="G217" s="209">
        <f>IF(F217=1,HLOOKUP(C217,'計算書（第2回）'!$C$123:$U$124,2,TRUE),0)</f>
        <v>2357141</v>
      </c>
      <c r="H217" s="209">
        <f>IF('信用保険料計算書（上限2000万）'!$I$15="",0,IF($B217&lt;'信用保険料計算書（上限2000万）'!$I$15,0,IF($B217&gt;'信用保険料計算書（上限2000万）'!$I$16,0,1)))</f>
        <v>0</v>
      </c>
      <c r="I217" s="209">
        <f>IF(H217=1,HLOOKUP(C217,'計算書（第3回）'!$C$123:$U$124,2,TRUE),0)</f>
        <v>0</v>
      </c>
      <c r="J217" s="209">
        <f>IF('信用保険料計算書（上限2000万）'!$K$15="",0,IF($B217&lt;'信用保険料計算書（上限2000万）'!$K$15,0,IF($B217&gt;'信用保険料計算書（上限2000万）'!$K$16,0,1)))</f>
        <v>0</v>
      </c>
      <c r="K217" s="209">
        <f>IF(J217=1,HLOOKUP(C217,'計算書（第4回）'!$C$123:$U$124,2,TRUE),0)</f>
        <v>0</v>
      </c>
      <c r="L217" s="209">
        <f>IF('信用保険料計算書（上限2000万）'!$M$15="",0,IF($B217&lt;'信用保険料計算書（上限2000万）'!$M$15,0,IF($B217&gt;'信用保険料計算書（上限2000万）'!$M$16,0,1)))</f>
        <v>0</v>
      </c>
      <c r="M217" s="209">
        <f>IF(L217=1,HLOOKUP(C217,'計算書（第5回）'!$C$123:$U$124,2,TRUE),0)</f>
        <v>0</v>
      </c>
      <c r="N217" s="209">
        <f>IF('信用保険料計算書（上限2000万）'!$O$15="",0,IF($B217&lt;'信用保険料計算書（上限2000万）'!$O$15,0,IF($B217&gt;'信用保険料計算書（上限2000万）'!$O$16,0,1)))</f>
        <v>0</v>
      </c>
      <c r="O217" s="209">
        <f>IF(N217=1,HLOOKUP(C217,'計算書（第6回）'!$C$123:$U$124,2,TRUE),0)</f>
        <v>0</v>
      </c>
      <c r="P217" s="209">
        <f>IF('信用保険料計算書（上限2000万）'!$Q$15="",0,IF($B217&lt;'信用保険料計算書（上限2000万）'!$Q$15,0,IF($B217&gt;'信用保険料計算書（上限2000万）'!$Q$16,0,1)))</f>
        <v>0</v>
      </c>
      <c r="Q217" s="209">
        <f>IF(P217=1,HLOOKUP(C217,'計算書（第7回）'!$C$123:$U$124,2,TRUE),0)</f>
        <v>0</v>
      </c>
      <c r="R217" s="213"/>
      <c r="S217" s="211">
        <f>COUNTIF($AB$13:$AB$19,"&lt;=2029/2/1")</f>
        <v>2</v>
      </c>
      <c r="T217" s="178">
        <f t="shared" si="23"/>
        <v>44743</v>
      </c>
      <c r="U217" s="181">
        <f t="shared" si="21"/>
        <v>2357141</v>
      </c>
      <c r="V217" s="182">
        <f t="shared" si="19"/>
        <v>2357141</v>
      </c>
      <c r="W217" s="245">
        <f t="shared" si="24"/>
        <v>942.85</v>
      </c>
      <c r="X217" s="182"/>
    </row>
    <row r="218" spans="2:24">
      <c r="B218" s="214">
        <f t="shared" si="22"/>
        <v>47178</v>
      </c>
      <c r="C218" s="198">
        <f t="shared" si="20"/>
        <v>47150</v>
      </c>
      <c r="D218" s="209">
        <f>IF(B218&lt;'信用保険料計算書（上限2000万）'!$E$15,0,IF(B218&gt;'信用保険料計算書（上限2000万）'!$E$16,0,1))</f>
        <v>0</v>
      </c>
      <c r="E218" s="209">
        <f>IF(D218=1,HLOOKUP(C218,'計算書（第1回）'!$C$123:$U$124,2,TRUE),0)</f>
        <v>0</v>
      </c>
      <c r="F218" s="209">
        <f>IF('信用保険料計算書（上限2000万）'!$G$15="",0,IF($B218&lt;'信用保険料計算書（上限2000万）'!$G$15,0,IF($B218&gt;'信用保険料計算書（上限2000万）'!$G$16,0,1)))</f>
        <v>1</v>
      </c>
      <c r="G218" s="209">
        <f>IF(F218=1,HLOOKUP(C218,'計算書（第2回）'!$C$123:$U$124,2,TRUE),0)</f>
        <v>2357141</v>
      </c>
      <c r="H218" s="209">
        <f>IF('信用保険料計算書（上限2000万）'!$I$15="",0,IF($B218&lt;'信用保険料計算書（上限2000万）'!$I$15,0,IF($B218&gt;'信用保険料計算書（上限2000万）'!$I$16,0,1)))</f>
        <v>0</v>
      </c>
      <c r="I218" s="209">
        <f>IF(H218=1,HLOOKUP(C218,'計算書（第3回）'!$C$123:$U$124,2,TRUE),0)</f>
        <v>0</v>
      </c>
      <c r="J218" s="209">
        <f>IF('信用保険料計算書（上限2000万）'!$K$15="",0,IF($B218&lt;'信用保険料計算書（上限2000万）'!$K$15,0,IF($B218&gt;'信用保険料計算書（上限2000万）'!$K$16,0,1)))</f>
        <v>0</v>
      </c>
      <c r="K218" s="209">
        <f>IF(J218=1,HLOOKUP(C218,'計算書（第4回）'!$C$123:$U$124,2,TRUE),0)</f>
        <v>0</v>
      </c>
      <c r="L218" s="209">
        <f>IF('信用保険料計算書（上限2000万）'!$M$15="",0,IF($B218&lt;'信用保険料計算書（上限2000万）'!$M$15,0,IF($B218&gt;'信用保険料計算書（上限2000万）'!$M$16,0,1)))</f>
        <v>0</v>
      </c>
      <c r="M218" s="209">
        <f>IF(L218=1,HLOOKUP(C218,'計算書（第5回）'!$C$123:$U$124,2,TRUE),0)</f>
        <v>0</v>
      </c>
      <c r="N218" s="209">
        <f>IF('信用保険料計算書（上限2000万）'!$O$15="",0,IF($B218&lt;'信用保険料計算書（上限2000万）'!$O$15,0,IF($B218&gt;'信用保険料計算書（上限2000万）'!$O$16,0,1)))</f>
        <v>0</v>
      </c>
      <c r="O218" s="209">
        <f>IF(N218=1,HLOOKUP(C218,'計算書（第6回）'!$C$123:$U$124,2,TRUE),0)</f>
        <v>0</v>
      </c>
      <c r="P218" s="209">
        <f>IF('信用保険料計算書（上限2000万）'!$Q$15="",0,IF($B218&lt;'信用保険料計算書（上限2000万）'!$Q$15,0,IF($B218&gt;'信用保険料計算書（上限2000万）'!$Q$16,0,1)))</f>
        <v>0</v>
      </c>
      <c r="Q218" s="209">
        <f>IF(P218=1,HLOOKUP(C218,'計算書（第7回）'!$C$123:$U$124,2,TRUE),0)</f>
        <v>0</v>
      </c>
      <c r="R218" s="213"/>
      <c r="S218" s="211">
        <f>COUNTIF($AB$13:$AB$19,"&lt;=2029/3/1")</f>
        <v>2</v>
      </c>
      <c r="T218" s="178">
        <f t="shared" si="23"/>
        <v>44743</v>
      </c>
      <c r="U218" s="181">
        <f t="shared" si="21"/>
        <v>2357141</v>
      </c>
      <c r="V218" s="182">
        <f t="shared" si="19"/>
        <v>2357141</v>
      </c>
      <c r="W218" s="245">
        <f t="shared" si="24"/>
        <v>942.85</v>
      </c>
      <c r="X218" s="183">
        <f>INT(SUM(W213:W218))</f>
        <v>5657</v>
      </c>
    </row>
    <row r="219" spans="2:24">
      <c r="B219" s="214">
        <f t="shared" si="22"/>
        <v>47209</v>
      </c>
      <c r="C219" s="198">
        <f t="shared" si="20"/>
        <v>47178</v>
      </c>
      <c r="D219" s="209">
        <f>IF(B219&lt;'信用保険料計算書（上限2000万）'!$E$15,0,IF(B219&gt;'信用保険料計算書（上限2000万）'!$E$16,0,1))</f>
        <v>0</v>
      </c>
      <c r="E219" s="209">
        <f>IF(D219=1,HLOOKUP(C219,'計算書（第1回）'!$C$123:$U$124,2,TRUE),0)</f>
        <v>0</v>
      </c>
      <c r="F219" s="209">
        <f>IF('信用保険料計算書（上限2000万）'!$G$15="",0,IF($B219&lt;'信用保険料計算書（上限2000万）'!$G$15,0,IF($B219&gt;'信用保険料計算書（上限2000万）'!$G$16,0,1)))</f>
        <v>1</v>
      </c>
      <c r="G219" s="209">
        <f>IF(F219=1,HLOOKUP(C219,'計算書（第2回）'!$C$123:$U$124,2,TRUE),0)</f>
        <v>785713</v>
      </c>
      <c r="H219" s="209">
        <f>IF('信用保険料計算書（上限2000万）'!$I$15="",0,IF($B219&lt;'信用保険料計算書（上限2000万）'!$I$15,0,IF($B219&gt;'信用保険料計算書（上限2000万）'!$I$16,0,1)))</f>
        <v>0</v>
      </c>
      <c r="I219" s="209">
        <f>IF(H219=1,HLOOKUP(C219,'計算書（第3回）'!$C$123:$U$124,2,TRUE),0)</f>
        <v>0</v>
      </c>
      <c r="J219" s="209">
        <f>IF('信用保険料計算書（上限2000万）'!$K$15="",0,IF($B219&lt;'信用保険料計算書（上限2000万）'!$K$15,0,IF($B219&gt;'信用保険料計算書（上限2000万）'!$K$16,0,1)))</f>
        <v>0</v>
      </c>
      <c r="K219" s="209">
        <f>IF(J219=1,HLOOKUP(C219,'計算書（第4回）'!$C$123:$U$124,2,TRUE),0)</f>
        <v>0</v>
      </c>
      <c r="L219" s="209">
        <f>IF('信用保険料計算書（上限2000万）'!$M$15="",0,IF($B219&lt;'信用保険料計算書（上限2000万）'!$M$15,0,IF($B219&gt;'信用保険料計算書（上限2000万）'!$M$16,0,1)))</f>
        <v>0</v>
      </c>
      <c r="M219" s="209">
        <f>IF(L219=1,HLOOKUP(C219,'計算書（第5回）'!$C$123:$U$124,2,TRUE),0)</f>
        <v>0</v>
      </c>
      <c r="N219" s="209">
        <f>IF('信用保険料計算書（上限2000万）'!$O$15="",0,IF($B219&lt;'信用保険料計算書（上限2000万）'!$O$15,0,IF($B219&gt;'信用保険料計算書（上限2000万）'!$O$16,0,1)))</f>
        <v>0</v>
      </c>
      <c r="O219" s="209">
        <f>IF(N219=1,HLOOKUP(C219,'計算書（第6回）'!$C$123:$U$124,2,TRUE),0)</f>
        <v>0</v>
      </c>
      <c r="P219" s="209">
        <f>IF('信用保険料計算書（上限2000万）'!$Q$15="",0,IF($B219&lt;'信用保険料計算書（上限2000万）'!$Q$15,0,IF($B219&gt;'信用保険料計算書（上限2000万）'!$Q$16,0,1)))</f>
        <v>0</v>
      </c>
      <c r="Q219" s="209">
        <f>IF(P219=1,HLOOKUP(C219,'計算書（第7回）'!$C$123:$U$124,2,TRUE),0)</f>
        <v>0</v>
      </c>
      <c r="R219" s="213"/>
      <c r="S219" s="211">
        <f>COUNTIF($AB$13:$AB$19,"&lt;=2029/4/1")</f>
        <v>2</v>
      </c>
      <c r="T219" s="178">
        <f t="shared" si="23"/>
        <v>44743</v>
      </c>
      <c r="U219" s="181">
        <f t="shared" si="21"/>
        <v>785713</v>
      </c>
      <c r="V219" s="182">
        <f t="shared" si="19"/>
        <v>785713</v>
      </c>
      <c r="W219" s="245">
        <f t="shared" si="24"/>
        <v>314.27999999999997</v>
      </c>
      <c r="X219" s="182"/>
    </row>
    <row r="220" spans="2:24">
      <c r="B220" s="214">
        <f t="shared" si="22"/>
        <v>47239</v>
      </c>
      <c r="C220" s="198">
        <f t="shared" si="20"/>
        <v>47209</v>
      </c>
      <c r="D220" s="209">
        <f>IF(B220&lt;'信用保険料計算書（上限2000万）'!$E$15,0,IF(B220&gt;'信用保険料計算書（上限2000万）'!$E$16,0,1))</f>
        <v>0</v>
      </c>
      <c r="E220" s="209">
        <f>IF(D220=1,HLOOKUP(C220,'計算書（第1回）'!$C$123:$U$124,2,TRUE),0)</f>
        <v>0</v>
      </c>
      <c r="F220" s="209">
        <f>IF('信用保険料計算書（上限2000万）'!$G$15="",0,IF($B220&lt;'信用保険料計算書（上限2000万）'!$G$15,0,IF($B220&gt;'信用保険料計算書（上限2000万）'!$G$16,0,1)))</f>
        <v>1</v>
      </c>
      <c r="G220" s="209">
        <f>IF(F220=1,HLOOKUP(C220,'計算書（第2回）'!$C$123:$U$124,2,TRUE),0)</f>
        <v>785713</v>
      </c>
      <c r="H220" s="209">
        <f>IF('信用保険料計算書（上限2000万）'!$I$15="",0,IF($B220&lt;'信用保険料計算書（上限2000万）'!$I$15,0,IF($B220&gt;'信用保険料計算書（上限2000万）'!$I$16,0,1)))</f>
        <v>0</v>
      </c>
      <c r="I220" s="209">
        <f>IF(H220=1,HLOOKUP(C220,'計算書（第3回）'!$C$123:$U$124,2,TRUE),0)</f>
        <v>0</v>
      </c>
      <c r="J220" s="209">
        <f>IF('信用保険料計算書（上限2000万）'!$K$15="",0,IF($B220&lt;'信用保険料計算書（上限2000万）'!$K$15,0,IF($B220&gt;'信用保険料計算書（上限2000万）'!$K$16,0,1)))</f>
        <v>0</v>
      </c>
      <c r="K220" s="209">
        <f>IF(J220=1,HLOOKUP(C220,'計算書（第4回）'!$C$123:$U$124,2,TRUE),0)</f>
        <v>0</v>
      </c>
      <c r="L220" s="209">
        <f>IF('信用保険料計算書（上限2000万）'!$M$15="",0,IF($B220&lt;'信用保険料計算書（上限2000万）'!$M$15,0,IF($B220&gt;'信用保険料計算書（上限2000万）'!$M$16,0,1)))</f>
        <v>0</v>
      </c>
      <c r="M220" s="209">
        <f>IF(L220=1,HLOOKUP(C220,'計算書（第5回）'!$C$123:$U$124,2,TRUE),0)</f>
        <v>0</v>
      </c>
      <c r="N220" s="209">
        <f>IF('信用保険料計算書（上限2000万）'!$O$15="",0,IF($B220&lt;'信用保険料計算書（上限2000万）'!$O$15,0,IF($B220&gt;'信用保険料計算書（上限2000万）'!$O$16,0,1)))</f>
        <v>0</v>
      </c>
      <c r="O220" s="209">
        <f>IF(N220=1,HLOOKUP(C220,'計算書（第6回）'!$C$123:$U$124,2,TRUE),0)</f>
        <v>0</v>
      </c>
      <c r="P220" s="209">
        <f>IF('信用保険料計算書（上限2000万）'!$Q$15="",0,IF($B220&lt;'信用保険料計算書（上限2000万）'!$Q$15,0,IF($B220&gt;'信用保険料計算書（上限2000万）'!$Q$16,0,1)))</f>
        <v>0</v>
      </c>
      <c r="Q220" s="209">
        <f>IF(P220=1,HLOOKUP(C220,'計算書（第7回）'!$C$123:$U$124,2,TRUE),0)</f>
        <v>0</v>
      </c>
      <c r="R220" s="213"/>
      <c r="S220" s="211">
        <f>COUNTIF($AB$13:$AB$19,"&lt;=2029/5/1")</f>
        <v>2</v>
      </c>
      <c r="T220" s="178">
        <f t="shared" si="23"/>
        <v>44743</v>
      </c>
      <c r="U220" s="181">
        <f t="shared" si="21"/>
        <v>785713</v>
      </c>
      <c r="V220" s="182">
        <f t="shared" si="19"/>
        <v>785713</v>
      </c>
      <c r="W220" s="245">
        <f t="shared" si="24"/>
        <v>314.27999999999997</v>
      </c>
      <c r="X220" s="182"/>
    </row>
    <row r="221" spans="2:24">
      <c r="B221" s="214">
        <f t="shared" si="22"/>
        <v>47270</v>
      </c>
      <c r="C221" s="198">
        <f t="shared" si="20"/>
        <v>47239</v>
      </c>
      <c r="D221" s="209">
        <f>IF(B221&lt;'信用保険料計算書（上限2000万）'!$E$15,0,IF(B221&gt;'信用保険料計算書（上限2000万）'!$E$16,0,1))</f>
        <v>0</v>
      </c>
      <c r="E221" s="209">
        <f>IF(D221=1,HLOOKUP(C221,'計算書（第1回）'!$C$123:$U$124,2,TRUE),0)</f>
        <v>0</v>
      </c>
      <c r="F221" s="209">
        <f>IF('信用保険料計算書（上限2000万）'!$G$15="",0,IF($B221&lt;'信用保険料計算書（上限2000万）'!$G$15,0,IF($B221&gt;'信用保険料計算書（上限2000万）'!$G$16,0,1)))</f>
        <v>1</v>
      </c>
      <c r="G221" s="209">
        <f>IF(F221=1,HLOOKUP(C221,'計算書（第2回）'!$C$123:$U$124,2,TRUE),0)</f>
        <v>785713</v>
      </c>
      <c r="H221" s="209">
        <f>IF('信用保険料計算書（上限2000万）'!$I$15="",0,IF($B221&lt;'信用保険料計算書（上限2000万）'!$I$15,0,IF($B221&gt;'信用保険料計算書（上限2000万）'!$I$16,0,1)))</f>
        <v>0</v>
      </c>
      <c r="I221" s="209">
        <f>IF(H221=1,HLOOKUP(C221,'計算書（第3回）'!$C$123:$U$124,2,TRUE),0)</f>
        <v>0</v>
      </c>
      <c r="J221" s="209">
        <f>IF('信用保険料計算書（上限2000万）'!$K$15="",0,IF($B221&lt;'信用保険料計算書（上限2000万）'!$K$15,0,IF($B221&gt;'信用保険料計算書（上限2000万）'!$K$16,0,1)))</f>
        <v>0</v>
      </c>
      <c r="K221" s="209">
        <f>IF(J221=1,HLOOKUP(C221,'計算書（第4回）'!$C$123:$U$124,2,TRUE),0)</f>
        <v>0</v>
      </c>
      <c r="L221" s="209">
        <f>IF('信用保険料計算書（上限2000万）'!$M$15="",0,IF($B221&lt;'信用保険料計算書（上限2000万）'!$M$15,0,IF($B221&gt;'信用保険料計算書（上限2000万）'!$M$16,0,1)))</f>
        <v>0</v>
      </c>
      <c r="M221" s="209">
        <f>IF(L221=1,HLOOKUP(C221,'計算書（第5回）'!$C$123:$U$124,2,TRUE),0)</f>
        <v>0</v>
      </c>
      <c r="N221" s="209">
        <f>IF('信用保険料計算書（上限2000万）'!$O$15="",0,IF($B221&lt;'信用保険料計算書（上限2000万）'!$O$15,0,IF($B221&gt;'信用保険料計算書（上限2000万）'!$O$16,0,1)))</f>
        <v>0</v>
      </c>
      <c r="O221" s="209">
        <f>IF(N221=1,HLOOKUP(C221,'計算書（第6回）'!$C$123:$U$124,2,TRUE),0)</f>
        <v>0</v>
      </c>
      <c r="P221" s="209">
        <f>IF('信用保険料計算書（上限2000万）'!$Q$15="",0,IF($B221&lt;'信用保険料計算書（上限2000万）'!$Q$15,0,IF($B221&gt;'信用保険料計算書（上限2000万）'!$Q$16,0,1)))</f>
        <v>0</v>
      </c>
      <c r="Q221" s="209">
        <f>IF(P221=1,HLOOKUP(C221,'計算書（第7回）'!$C$123:$U$124,2,TRUE),0)</f>
        <v>0</v>
      </c>
      <c r="R221" s="213"/>
      <c r="S221" s="211">
        <f>COUNTIF($AB$13:$AB$19,"&lt;=2029/6/1")</f>
        <v>2</v>
      </c>
      <c r="T221" s="178">
        <f t="shared" si="23"/>
        <v>44743</v>
      </c>
      <c r="U221" s="181">
        <f t="shared" si="21"/>
        <v>785713</v>
      </c>
      <c r="V221" s="182">
        <f t="shared" si="19"/>
        <v>785713</v>
      </c>
      <c r="W221" s="245">
        <f t="shared" si="24"/>
        <v>314.27999999999997</v>
      </c>
      <c r="X221" s="182"/>
    </row>
    <row r="222" spans="2:24">
      <c r="B222" s="214">
        <f t="shared" si="22"/>
        <v>47300</v>
      </c>
      <c r="C222" s="198">
        <f t="shared" si="20"/>
        <v>47270</v>
      </c>
      <c r="D222" s="209">
        <f>IF(B222&lt;'信用保険料計算書（上限2000万）'!$E$15,0,IF(B222&gt;'信用保険料計算書（上限2000万）'!$E$16,0,1))</f>
        <v>0</v>
      </c>
      <c r="E222" s="209">
        <f>IF(D222=1,HLOOKUP(C222,'計算書（第1回）'!$C$123:$U$124,2,TRUE),0)</f>
        <v>0</v>
      </c>
      <c r="F222" s="209">
        <f>IF('信用保険料計算書（上限2000万）'!$G$15="",0,IF($B222&lt;'信用保険料計算書（上限2000万）'!$G$15,0,IF($B222&gt;'信用保険料計算書（上限2000万）'!$G$16,0,1)))</f>
        <v>0</v>
      </c>
      <c r="G222" s="209">
        <f>IF(F222=1,HLOOKUP(C222,'計算書（第2回）'!$C$123:$U$124,2,TRUE),0)</f>
        <v>0</v>
      </c>
      <c r="H222" s="209">
        <f>IF('信用保険料計算書（上限2000万）'!$I$15="",0,IF($B222&lt;'信用保険料計算書（上限2000万）'!$I$15,0,IF($B222&gt;'信用保険料計算書（上限2000万）'!$I$16,0,1)))</f>
        <v>0</v>
      </c>
      <c r="I222" s="209">
        <f>IF(H222=1,HLOOKUP(C222,'計算書（第3回）'!$C$123:$U$124,2,TRUE),0)</f>
        <v>0</v>
      </c>
      <c r="J222" s="209">
        <f>IF('信用保険料計算書（上限2000万）'!$K$15="",0,IF($B222&lt;'信用保険料計算書（上限2000万）'!$K$15,0,IF($B222&gt;'信用保険料計算書（上限2000万）'!$K$16,0,1)))</f>
        <v>0</v>
      </c>
      <c r="K222" s="209">
        <f>IF(J222=1,HLOOKUP(C222,'計算書（第4回）'!$C$123:$U$124,2,TRUE),0)</f>
        <v>0</v>
      </c>
      <c r="L222" s="209">
        <f>IF('信用保険料計算書（上限2000万）'!$M$15="",0,IF($B222&lt;'信用保険料計算書（上限2000万）'!$M$15,0,IF($B222&gt;'信用保険料計算書（上限2000万）'!$M$16,0,1)))</f>
        <v>0</v>
      </c>
      <c r="M222" s="209">
        <f>IF(L222=1,HLOOKUP(C222,'計算書（第5回）'!$C$123:$U$124,2,TRUE),0)</f>
        <v>0</v>
      </c>
      <c r="N222" s="209">
        <f>IF('信用保険料計算書（上限2000万）'!$O$15="",0,IF($B222&lt;'信用保険料計算書（上限2000万）'!$O$15,0,IF($B222&gt;'信用保険料計算書（上限2000万）'!$O$16,0,1)))</f>
        <v>0</v>
      </c>
      <c r="O222" s="209">
        <f>IF(N222=1,HLOOKUP(C222,'計算書（第6回）'!$C$123:$U$124,2,TRUE),0)</f>
        <v>0</v>
      </c>
      <c r="P222" s="209">
        <f>IF('信用保険料計算書（上限2000万）'!$Q$15="",0,IF($B222&lt;'信用保険料計算書（上限2000万）'!$Q$15,0,IF($B222&gt;'信用保険料計算書（上限2000万）'!$Q$16,0,1)))</f>
        <v>0</v>
      </c>
      <c r="Q222" s="209">
        <f>IF(P222=1,HLOOKUP(C222,'計算書（第7回）'!$C$123:$U$124,2,TRUE),0)</f>
        <v>0</v>
      </c>
      <c r="R222" s="213"/>
      <c r="S222" s="211">
        <f>COUNTIF($AB$13:$AB$19,"&lt;=2029/7/1")</f>
        <v>2</v>
      </c>
      <c r="T222" s="178">
        <f t="shared" si="23"/>
        <v>44743</v>
      </c>
      <c r="U222" s="181">
        <f t="shared" si="21"/>
        <v>0</v>
      </c>
      <c r="V222" s="182">
        <f t="shared" si="19"/>
        <v>0</v>
      </c>
      <c r="W222" s="245">
        <f t="shared" si="24"/>
        <v>0</v>
      </c>
      <c r="X222" s="182"/>
    </row>
    <row r="223" spans="2:24">
      <c r="B223" s="214">
        <f t="shared" si="22"/>
        <v>47331</v>
      </c>
      <c r="C223" s="198">
        <f t="shared" si="20"/>
        <v>47300</v>
      </c>
      <c r="D223" s="209">
        <f>IF(B223&lt;'信用保険料計算書（上限2000万）'!$E$15,0,IF(B223&gt;'信用保険料計算書（上限2000万）'!$E$16,0,1))</f>
        <v>0</v>
      </c>
      <c r="E223" s="209">
        <f>IF(D223=1,HLOOKUP(C223,'計算書（第1回）'!$C$123:$U$124,2,TRUE),0)</f>
        <v>0</v>
      </c>
      <c r="F223" s="209">
        <f>IF('信用保険料計算書（上限2000万）'!$G$15="",0,IF($B223&lt;'信用保険料計算書（上限2000万）'!$G$15,0,IF($B223&gt;'信用保険料計算書（上限2000万）'!$G$16,0,1)))</f>
        <v>0</v>
      </c>
      <c r="G223" s="209">
        <f>IF(F223=1,HLOOKUP(C223,'計算書（第2回）'!$C$123:$U$124,2,TRUE),0)</f>
        <v>0</v>
      </c>
      <c r="H223" s="209">
        <f>IF('信用保険料計算書（上限2000万）'!$I$15="",0,IF($B223&lt;'信用保険料計算書（上限2000万）'!$I$15,0,IF($B223&gt;'信用保険料計算書（上限2000万）'!$I$16,0,1)))</f>
        <v>0</v>
      </c>
      <c r="I223" s="209">
        <f>IF(H223=1,HLOOKUP(C223,'計算書（第3回）'!$C$123:$U$124,2,TRUE),0)</f>
        <v>0</v>
      </c>
      <c r="J223" s="209">
        <f>IF('信用保険料計算書（上限2000万）'!$K$15="",0,IF($B223&lt;'信用保険料計算書（上限2000万）'!$K$15,0,IF($B223&gt;'信用保険料計算書（上限2000万）'!$K$16,0,1)))</f>
        <v>0</v>
      </c>
      <c r="K223" s="209">
        <f>IF(J223=1,HLOOKUP(C223,'計算書（第4回）'!$C$123:$U$124,2,TRUE),0)</f>
        <v>0</v>
      </c>
      <c r="L223" s="209">
        <f>IF('信用保険料計算書（上限2000万）'!$M$15="",0,IF($B223&lt;'信用保険料計算書（上限2000万）'!$M$15,0,IF($B223&gt;'信用保険料計算書（上限2000万）'!$M$16,0,1)))</f>
        <v>0</v>
      </c>
      <c r="M223" s="209">
        <f>IF(L223=1,HLOOKUP(C223,'計算書（第5回）'!$C$123:$U$124,2,TRUE),0)</f>
        <v>0</v>
      </c>
      <c r="N223" s="209">
        <f>IF('信用保険料計算書（上限2000万）'!$O$15="",0,IF($B223&lt;'信用保険料計算書（上限2000万）'!$O$15,0,IF($B223&gt;'信用保険料計算書（上限2000万）'!$O$16,0,1)))</f>
        <v>0</v>
      </c>
      <c r="O223" s="209">
        <f>IF(N223=1,HLOOKUP(C223,'計算書（第6回）'!$C$123:$U$124,2,TRUE),0)</f>
        <v>0</v>
      </c>
      <c r="P223" s="209">
        <f>IF('信用保険料計算書（上限2000万）'!$Q$15="",0,IF($B223&lt;'信用保険料計算書（上限2000万）'!$Q$15,0,IF($B223&gt;'信用保険料計算書（上限2000万）'!$Q$16,0,1)))</f>
        <v>0</v>
      </c>
      <c r="Q223" s="209">
        <f>IF(P223=1,HLOOKUP(C223,'計算書（第7回）'!$C$123:$U$124,2,TRUE),0)</f>
        <v>0</v>
      </c>
      <c r="R223" s="213"/>
      <c r="S223" s="211">
        <f>COUNTIF($AB$13:$AB$19,"&lt;=2029/8/1")</f>
        <v>2</v>
      </c>
      <c r="T223" s="178">
        <f t="shared" si="23"/>
        <v>44743</v>
      </c>
      <c r="U223" s="181">
        <f t="shared" si="21"/>
        <v>0</v>
      </c>
      <c r="V223" s="182">
        <f t="shared" si="19"/>
        <v>0</v>
      </c>
      <c r="W223" s="245">
        <f t="shared" si="24"/>
        <v>0</v>
      </c>
      <c r="X223" s="182"/>
    </row>
    <row r="224" spans="2:24">
      <c r="B224" s="214">
        <f t="shared" si="22"/>
        <v>47362</v>
      </c>
      <c r="C224" s="198">
        <f t="shared" si="20"/>
        <v>47331</v>
      </c>
      <c r="D224" s="209">
        <f>IF(B224&lt;'信用保険料計算書（上限2000万）'!$E$15,0,IF(B224&gt;'信用保険料計算書（上限2000万）'!$E$16,0,1))</f>
        <v>0</v>
      </c>
      <c r="E224" s="209">
        <f>IF(D224=1,HLOOKUP(C224,'計算書（第1回）'!$C$123:$U$124,2,TRUE),0)</f>
        <v>0</v>
      </c>
      <c r="F224" s="209">
        <f>IF('信用保険料計算書（上限2000万）'!$G$15="",0,IF($B224&lt;'信用保険料計算書（上限2000万）'!$G$15,0,IF($B224&gt;'信用保険料計算書（上限2000万）'!$G$16,0,1)))</f>
        <v>0</v>
      </c>
      <c r="G224" s="209">
        <f>IF(F224=1,HLOOKUP(C224,'計算書（第2回）'!$C$123:$U$124,2,TRUE),0)</f>
        <v>0</v>
      </c>
      <c r="H224" s="209">
        <f>IF('信用保険料計算書（上限2000万）'!$I$15="",0,IF($B224&lt;'信用保険料計算書（上限2000万）'!$I$15,0,IF($B224&gt;'信用保険料計算書（上限2000万）'!$I$16,0,1)))</f>
        <v>0</v>
      </c>
      <c r="I224" s="209">
        <f>IF(H224=1,HLOOKUP(C224,'計算書（第3回）'!$C$123:$U$124,2,TRUE),0)</f>
        <v>0</v>
      </c>
      <c r="J224" s="209">
        <f>IF('信用保険料計算書（上限2000万）'!$K$15="",0,IF($B224&lt;'信用保険料計算書（上限2000万）'!$K$15,0,IF($B224&gt;'信用保険料計算書（上限2000万）'!$K$16,0,1)))</f>
        <v>0</v>
      </c>
      <c r="K224" s="209">
        <f>IF(J224=1,HLOOKUP(C224,'計算書（第4回）'!$C$123:$U$124,2,TRUE),0)</f>
        <v>0</v>
      </c>
      <c r="L224" s="209">
        <f>IF('信用保険料計算書（上限2000万）'!$M$15="",0,IF($B224&lt;'信用保険料計算書（上限2000万）'!$M$15,0,IF($B224&gt;'信用保険料計算書（上限2000万）'!$M$16,0,1)))</f>
        <v>0</v>
      </c>
      <c r="M224" s="209">
        <f>IF(L224=1,HLOOKUP(C224,'計算書（第5回）'!$C$123:$U$124,2,TRUE),0)</f>
        <v>0</v>
      </c>
      <c r="N224" s="209">
        <f>IF('信用保険料計算書（上限2000万）'!$O$15="",0,IF($B224&lt;'信用保険料計算書（上限2000万）'!$O$15,0,IF($B224&gt;'信用保険料計算書（上限2000万）'!$O$16,0,1)))</f>
        <v>0</v>
      </c>
      <c r="O224" s="209">
        <f>IF(N224=1,HLOOKUP(C224,'計算書（第6回）'!$C$123:$U$124,2,TRUE),0)</f>
        <v>0</v>
      </c>
      <c r="P224" s="209">
        <f>IF('信用保険料計算書（上限2000万）'!$Q$15="",0,IF($B224&lt;'信用保険料計算書（上限2000万）'!$Q$15,0,IF($B224&gt;'信用保険料計算書（上限2000万）'!$Q$16,0,1)))</f>
        <v>0</v>
      </c>
      <c r="Q224" s="209">
        <f>IF(P224=1,HLOOKUP(C224,'計算書（第7回）'!$C$123:$U$124,2,TRUE),0)</f>
        <v>0</v>
      </c>
      <c r="R224" s="213"/>
      <c r="S224" s="211">
        <f>COUNTIF($AB$13:$AB$19,"&lt;=2029/9/1")</f>
        <v>2</v>
      </c>
      <c r="T224" s="178">
        <f t="shared" si="23"/>
        <v>44743</v>
      </c>
      <c r="U224" s="181">
        <f t="shared" si="21"/>
        <v>0</v>
      </c>
      <c r="V224" s="182">
        <f t="shared" si="19"/>
        <v>0</v>
      </c>
      <c r="W224" s="245">
        <f t="shared" si="24"/>
        <v>0</v>
      </c>
      <c r="X224" s="183">
        <f>INT(SUM(W219:W224))</f>
        <v>942</v>
      </c>
    </row>
    <row r="225" spans="2:24">
      <c r="B225" s="214">
        <f t="shared" si="22"/>
        <v>47392</v>
      </c>
      <c r="C225" s="198">
        <f t="shared" si="20"/>
        <v>47362</v>
      </c>
      <c r="D225" s="209">
        <f>IF(B225&lt;'信用保険料計算書（上限2000万）'!$E$15,0,IF(B225&gt;'信用保険料計算書（上限2000万）'!$E$16,0,1))</f>
        <v>0</v>
      </c>
      <c r="E225" s="209">
        <f>IF(D225=1,HLOOKUP(C225,'計算書（第1回）'!$C$123:$U$124,2,TRUE),0)</f>
        <v>0</v>
      </c>
      <c r="F225" s="209">
        <f>IF('信用保険料計算書（上限2000万）'!$G$15="",0,IF($B225&lt;'信用保険料計算書（上限2000万）'!$G$15,0,IF($B225&gt;'信用保険料計算書（上限2000万）'!$G$16,0,1)))</f>
        <v>0</v>
      </c>
      <c r="G225" s="209">
        <f>IF(F225=1,HLOOKUP(C225,'計算書（第2回）'!$C$123:$U$124,2,TRUE),0)</f>
        <v>0</v>
      </c>
      <c r="H225" s="209">
        <f>IF('信用保険料計算書（上限2000万）'!$I$15="",0,IF($B225&lt;'信用保険料計算書（上限2000万）'!$I$15,0,IF($B225&gt;'信用保険料計算書（上限2000万）'!$I$16,0,1)))</f>
        <v>0</v>
      </c>
      <c r="I225" s="209">
        <f>IF(H225=1,HLOOKUP(C225,'計算書（第3回）'!$C$123:$U$124,2,TRUE),0)</f>
        <v>0</v>
      </c>
      <c r="J225" s="209">
        <f>IF('信用保険料計算書（上限2000万）'!$K$15="",0,IF($B225&lt;'信用保険料計算書（上限2000万）'!$K$15,0,IF($B225&gt;'信用保険料計算書（上限2000万）'!$K$16,0,1)))</f>
        <v>0</v>
      </c>
      <c r="K225" s="209">
        <f>IF(J225=1,HLOOKUP(C225,'計算書（第4回）'!$C$123:$U$124,2,TRUE),0)</f>
        <v>0</v>
      </c>
      <c r="L225" s="209">
        <f>IF('信用保険料計算書（上限2000万）'!$M$15="",0,IF($B225&lt;'信用保険料計算書（上限2000万）'!$M$15,0,IF($B225&gt;'信用保険料計算書（上限2000万）'!$M$16,0,1)))</f>
        <v>0</v>
      </c>
      <c r="M225" s="209">
        <f>IF(L225=1,HLOOKUP(C225,'計算書（第5回）'!$C$123:$U$124,2,TRUE),0)</f>
        <v>0</v>
      </c>
      <c r="N225" s="209">
        <f>IF('信用保険料計算書（上限2000万）'!$O$15="",0,IF($B225&lt;'信用保険料計算書（上限2000万）'!$O$15,0,IF($B225&gt;'信用保険料計算書（上限2000万）'!$O$16,0,1)))</f>
        <v>0</v>
      </c>
      <c r="O225" s="209">
        <f>IF(N225=1,HLOOKUP(C225,'計算書（第6回）'!$C$123:$U$124,2,TRUE),0)</f>
        <v>0</v>
      </c>
      <c r="P225" s="209">
        <f>IF('信用保険料計算書（上限2000万）'!$Q$15="",0,IF($B225&lt;'信用保険料計算書（上限2000万）'!$Q$15,0,IF($B225&gt;'信用保険料計算書（上限2000万）'!$Q$16,0,1)))</f>
        <v>0</v>
      </c>
      <c r="Q225" s="209">
        <f>IF(P225=1,HLOOKUP(C225,'計算書（第7回）'!$C$123:$U$124,2,TRUE),0)</f>
        <v>0</v>
      </c>
      <c r="R225" s="213"/>
      <c r="S225" s="211">
        <f>COUNTIF($AB$13:$AB$19,"&lt;=2029/10/1")</f>
        <v>2</v>
      </c>
      <c r="T225" s="178">
        <f t="shared" si="23"/>
        <v>44743</v>
      </c>
      <c r="U225" s="181">
        <f t="shared" si="21"/>
        <v>0</v>
      </c>
      <c r="V225" s="182">
        <f t="shared" si="19"/>
        <v>0</v>
      </c>
      <c r="W225" s="245">
        <f t="shared" si="24"/>
        <v>0</v>
      </c>
      <c r="X225" s="182"/>
    </row>
    <row r="226" spans="2:24">
      <c r="B226" s="214">
        <f t="shared" si="22"/>
        <v>47423</v>
      </c>
      <c r="C226" s="198">
        <f t="shared" si="20"/>
        <v>47392</v>
      </c>
      <c r="D226" s="209">
        <f>IF(B226&lt;'信用保険料計算書（上限2000万）'!$E$15,0,IF(B226&gt;'信用保険料計算書（上限2000万）'!$E$16,0,1))</f>
        <v>0</v>
      </c>
      <c r="E226" s="209">
        <f>IF(D226=1,HLOOKUP(C226,'計算書（第1回）'!$C$123:$U$124,2,TRUE),0)</f>
        <v>0</v>
      </c>
      <c r="F226" s="209">
        <f>IF('信用保険料計算書（上限2000万）'!$G$15="",0,IF($B226&lt;'信用保険料計算書（上限2000万）'!$G$15,0,IF($B226&gt;'信用保険料計算書（上限2000万）'!$G$16,0,1)))</f>
        <v>0</v>
      </c>
      <c r="G226" s="209">
        <f>IF(F226=1,HLOOKUP(C226,'計算書（第2回）'!$C$123:$U$124,2,TRUE),0)</f>
        <v>0</v>
      </c>
      <c r="H226" s="209">
        <f>IF('信用保険料計算書（上限2000万）'!$I$15="",0,IF($B226&lt;'信用保険料計算書（上限2000万）'!$I$15,0,IF($B226&gt;'信用保険料計算書（上限2000万）'!$I$16,0,1)))</f>
        <v>0</v>
      </c>
      <c r="I226" s="209">
        <f>IF(H226=1,HLOOKUP(C226,'計算書（第3回）'!$C$123:$U$124,2,TRUE),0)</f>
        <v>0</v>
      </c>
      <c r="J226" s="209">
        <f>IF('信用保険料計算書（上限2000万）'!$K$15="",0,IF($B226&lt;'信用保険料計算書（上限2000万）'!$K$15,0,IF($B226&gt;'信用保険料計算書（上限2000万）'!$K$16,0,1)))</f>
        <v>0</v>
      </c>
      <c r="K226" s="209">
        <f>IF(J226=1,HLOOKUP(C226,'計算書（第4回）'!$C$123:$U$124,2,TRUE),0)</f>
        <v>0</v>
      </c>
      <c r="L226" s="209">
        <f>IF('信用保険料計算書（上限2000万）'!$M$15="",0,IF($B226&lt;'信用保険料計算書（上限2000万）'!$M$15,0,IF($B226&gt;'信用保険料計算書（上限2000万）'!$M$16,0,1)))</f>
        <v>0</v>
      </c>
      <c r="M226" s="209">
        <f>IF(L226=1,HLOOKUP(C226,'計算書（第5回）'!$C$123:$U$124,2,TRUE),0)</f>
        <v>0</v>
      </c>
      <c r="N226" s="209">
        <f>IF('信用保険料計算書（上限2000万）'!$O$15="",0,IF($B226&lt;'信用保険料計算書（上限2000万）'!$O$15,0,IF($B226&gt;'信用保険料計算書（上限2000万）'!$O$16,0,1)))</f>
        <v>0</v>
      </c>
      <c r="O226" s="209">
        <f>IF(N226=1,HLOOKUP(C226,'計算書（第6回）'!$C$123:$U$124,2,TRUE),0)</f>
        <v>0</v>
      </c>
      <c r="P226" s="209">
        <f>IF('信用保険料計算書（上限2000万）'!$Q$15="",0,IF($B226&lt;'信用保険料計算書（上限2000万）'!$Q$15,0,IF($B226&gt;'信用保険料計算書（上限2000万）'!$Q$16,0,1)))</f>
        <v>0</v>
      </c>
      <c r="Q226" s="209">
        <f>IF(P226=1,HLOOKUP(C226,'計算書（第7回）'!$C$123:$U$124,2,TRUE),0)</f>
        <v>0</v>
      </c>
      <c r="R226" s="213"/>
      <c r="S226" s="211">
        <f>COUNTIF($AB$13:$AB$19,"&lt;=2029/11/1")</f>
        <v>2</v>
      </c>
      <c r="T226" s="178">
        <f t="shared" si="23"/>
        <v>44743</v>
      </c>
      <c r="U226" s="181">
        <f t="shared" si="21"/>
        <v>0</v>
      </c>
      <c r="V226" s="182">
        <f t="shared" si="19"/>
        <v>0</v>
      </c>
      <c r="W226" s="245">
        <f t="shared" si="24"/>
        <v>0</v>
      </c>
      <c r="X226" s="182"/>
    </row>
    <row r="227" spans="2:24">
      <c r="B227" s="214">
        <f t="shared" si="22"/>
        <v>47453</v>
      </c>
      <c r="C227" s="198">
        <f t="shared" si="20"/>
        <v>47423</v>
      </c>
      <c r="D227" s="209">
        <f>IF(B227&lt;'信用保険料計算書（上限2000万）'!$E$15,0,IF(B227&gt;'信用保険料計算書（上限2000万）'!$E$16,0,1))</f>
        <v>0</v>
      </c>
      <c r="E227" s="209">
        <f>IF(D227=1,HLOOKUP(C227,'計算書（第1回）'!$C$123:$U$124,2,TRUE),0)</f>
        <v>0</v>
      </c>
      <c r="F227" s="209">
        <f>IF('信用保険料計算書（上限2000万）'!$G$15="",0,IF($B227&lt;'信用保険料計算書（上限2000万）'!$G$15,0,IF($B227&gt;'信用保険料計算書（上限2000万）'!$G$16,0,1)))</f>
        <v>0</v>
      </c>
      <c r="G227" s="209">
        <f>IF(F227=1,HLOOKUP(C227,'計算書（第2回）'!$C$123:$U$124,2,TRUE),0)</f>
        <v>0</v>
      </c>
      <c r="H227" s="209">
        <f>IF('信用保険料計算書（上限2000万）'!$I$15="",0,IF($B227&lt;'信用保険料計算書（上限2000万）'!$I$15,0,IF($B227&gt;'信用保険料計算書（上限2000万）'!$I$16,0,1)))</f>
        <v>0</v>
      </c>
      <c r="I227" s="209">
        <f>IF(H227=1,HLOOKUP(C227,'計算書（第3回）'!$C$123:$U$124,2,TRUE),0)</f>
        <v>0</v>
      </c>
      <c r="J227" s="209">
        <f>IF('信用保険料計算書（上限2000万）'!$K$15="",0,IF($B227&lt;'信用保険料計算書（上限2000万）'!$K$15,0,IF($B227&gt;'信用保険料計算書（上限2000万）'!$K$16,0,1)))</f>
        <v>0</v>
      </c>
      <c r="K227" s="209">
        <f>IF(J227=1,HLOOKUP(C227,'計算書（第4回）'!$C$123:$U$124,2,TRUE),0)</f>
        <v>0</v>
      </c>
      <c r="L227" s="209">
        <f>IF('信用保険料計算書（上限2000万）'!$M$15="",0,IF($B227&lt;'信用保険料計算書（上限2000万）'!$M$15,0,IF($B227&gt;'信用保険料計算書（上限2000万）'!$M$16,0,1)))</f>
        <v>0</v>
      </c>
      <c r="M227" s="209">
        <f>IF(L227=1,HLOOKUP(C227,'計算書（第5回）'!$C$123:$U$124,2,TRUE),0)</f>
        <v>0</v>
      </c>
      <c r="N227" s="209">
        <f>IF('信用保険料計算書（上限2000万）'!$O$15="",0,IF($B227&lt;'信用保険料計算書（上限2000万）'!$O$15,0,IF($B227&gt;'信用保険料計算書（上限2000万）'!$O$16,0,1)))</f>
        <v>0</v>
      </c>
      <c r="O227" s="209">
        <f>IF(N227=1,HLOOKUP(C227,'計算書（第6回）'!$C$123:$U$124,2,TRUE),0)</f>
        <v>0</v>
      </c>
      <c r="P227" s="209">
        <f>IF('信用保険料計算書（上限2000万）'!$Q$15="",0,IF($B227&lt;'信用保険料計算書（上限2000万）'!$Q$15,0,IF($B227&gt;'信用保険料計算書（上限2000万）'!$Q$16,0,1)))</f>
        <v>0</v>
      </c>
      <c r="Q227" s="209">
        <f>IF(P227=1,HLOOKUP(C227,'計算書（第7回）'!$C$123:$U$124,2,TRUE),0)</f>
        <v>0</v>
      </c>
      <c r="R227" s="213"/>
      <c r="S227" s="211">
        <f>COUNTIF($AB$13:$AB$19,"&lt;=2029/12/1")</f>
        <v>2</v>
      </c>
      <c r="T227" s="178">
        <f t="shared" si="23"/>
        <v>44743</v>
      </c>
      <c r="U227" s="181">
        <f t="shared" si="21"/>
        <v>0</v>
      </c>
      <c r="V227" s="182">
        <f t="shared" si="19"/>
        <v>0</v>
      </c>
      <c r="W227" s="245">
        <f t="shared" si="24"/>
        <v>0</v>
      </c>
      <c r="X227" s="182"/>
    </row>
    <row r="228" spans="2:24">
      <c r="B228" s="214">
        <f t="shared" si="22"/>
        <v>47484</v>
      </c>
      <c r="C228" s="198">
        <f t="shared" si="20"/>
        <v>47453</v>
      </c>
      <c r="D228" s="209">
        <f>IF(B228&lt;'信用保険料計算書（上限2000万）'!$E$15,0,IF(B228&gt;'信用保険料計算書（上限2000万）'!$E$16,0,1))</f>
        <v>0</v>
      </c>
      <c r="E228" s="209">
        <f>IF(D228=1,HLOOKUP(C228,'計算書（第1回）'!$C$123:$U$124,2,TRUE),0)</f>
        <v>0</v>
      </c>
      <c r="F228" s="209">
        <f>IF('信用保険料計算書（上限2000万）'!$G$15="",0,IF($B228&lt;'信用保険料計算書（上限2000万）'!$G$15,0,IF($B228&gt;'信用保険料計算書（上限2000万）'!$G$16,0,1)))</f>
        <v>0</v>
      </c>
      <c r="G228" s="209">
        <f>IF(F228=1,HLOOKUP(C228,'計算書（第2回）'!$C$123:$U$124,2,TRUE),0)</f>
        <v>0</v>
      </c>
      <c r="H228" s="209">
        <f>IF('信用保険料計算書（上限2000万）'!$I$15="",0,IF($B228&lt;'信用保険料計算書（上限2000万）'!$I$15,0,IF($B228&gt;'信用保険料計算書（上限2000万）'!$I$16,0,1)))</f>
        <v>0</v>
      </c>
      <c r="I228" s="209">
        <f>IF(H228=1,HLOOKUP(C228,'計算書（第3回）'!$C$123:$U$124,2,TRUE),0)</f>
        <v>0</v>
      </c>
      <c r="J228" s="209">
        <f>IF('信用保険料計算書（上限2000万）'!$K$15="",0,IF($B228&lt;'信用保険料計算書（上限2000万）'!$K$15,0,IF($B228&gt;'信用保険料計算書（上限2000万）'!$K$16,0,1)))</f>
        <v>0</v>
      </c>
      <c r="K228" s="209">
        <f>IF(J228=1,HLOOKUP(C228,'計算書（第4回）'!$C$123:$U$124,2,TRUE),0)</f>
        <v>0</v>
      </c>
      <c r="L228" s="209">
        <f>IF('信用保険料計算書（上限2000万）'!$M$15="",0,IF($B228&lt;'信用保険料計算書（上限2000万）'!$M$15,0,IF($B228&gt;'信用保険料計算書（上限2000万）'!$M$16,0,1)))</f>
        <v>0</v>
      </c>
      <c r="M228" s="209">
        <f>IF(L228=1,HLOOKUP(C228,'計算書（第5回）'!$C$123:$U$124,2,TRUE),0)</f>
        <v>0</v>
      </c>
      <c r="N228" s="209">
        <f>IF('信用保険料計算書（上限2000万）'!$O$15="",0,IF($B228&lt;'信用保険料計算書（上限2000万）'!$O$15,0,IF($B228&gt;'信用保険料計算書（上限2000万）'!$O$16,0,1)))</f>
        <v>0</v>
      </c>
      <c r="O228" s="209">
        <f>IF(N228=1,HLOOKUP(C228,'計算書（第6回）'!$C$123:$U$124,2,TRUE),0)</f>
        <v>0</v>
      </c>
      <c r="P228" s="209">
        <f>IF('信用保険料計算書（上限2000万）'!$Q$15="",0,IF($B228&lt;'信用保険料計算書（上限2000万）'!$Q$15,0,IF($B228&gt;'信用保険料計算書（上限2000万）'!$Q$16,0,1)))</f>
        <v>0</v>
      </c>
      <c r="Q228" s="209">
        <f>IF(P228=1,HLOOKUP(C228,'計算書（第7回）'!$C$123:$U$124,2,TRUE),0)</f>
        <v>0</v>
      </c>
      <c r="R228" s="212"/>
      <c r="S228" s="211">
        <f>COUNTIF($AB$13:$AB$19,"&lt;=2030/1/1")</f>
        <v>2</v>
      </c>
      <c r="T228" s="178">
        <f t="shared" si="23"/>
        <v>44743</v>
      </c>
      <c r="U228" s="181">
        <f t="shared" si="21"/>
        <v>0</v>
      </c>
      <c r="V228" s="182">
        <f t="shared" si="19"/>
        <v>0</v>
      </c>
      <c r="W228" s="245">
        <f t="shared" si="24"/>
        <v>0</v>
      </c>
      <c r="X228" s="182"/>
    </row>
    <row r="229" spans="2:24">
      <c r="B229" s="214">
        <f t="shared" si="22"/>
        <v>47515</v>
      </c>
      <c r="C229" s="198">
        <f t="shared" si="20"/>
        <v>47484</v>
      </c>
      <c r="D229" s="209">
        <f>IF(B229&lt;'信用保険料計算書（上限2000万）'!$E$15,0,IF(B229&gt;'信用保険料計算書（上限2000万）'!$E$16,0,1))</f>
        <v>0</v>
      </c>
      <c r="E229" s="209">
        <f>IF(D229=1,HLOOKUP(C229,'計算書（第1回）'!$C$123:$U$124,2,TRUE),0)</f>
        <v>0</v>
      </c>
      <c r="F229" s="209">
        <f>IF('信用保険料計算書（上限2000万）'!$G$15="",0,IF($B229&lt;'信用保険料計算書（上限2000万）'!$G$15,0,IF($B229&gt;'信用保険料計算書（上限2000万）'!$G$16,0,1)))</f>
        <v>0</v>
      </c>
      <c r="G229" s="209">
        <f>IF(F229=1,HLOOKUP(C229,'計算書（第2回）'!$C$123:$U$124,2,TRUE),0)</f>
        <v>0</v>
      </c>
      <c r="H229" s="209">
        <f>IF('信用保険料計算書（上限2000万）'!$I$15="",0,IF($B229&lt;'信用保険料計算書（上限2000万）'!$I$15,0,IF($B229&gt;'信用保険料計算書（上限2000万）'!$I$16,0,1)))</f>
        <v>0</v>
      </c>
      <c r="I229" s="209">
        <f>IF(H229=1,HLOOKUP(C229,'計算書（第3回）'!$C$123:$U$124,2,TRUE),0)</f>
        <v>0</v>
      </c>
      <c r="J229" s="209">
        <f>IF('信用保険料計算書（上限2000万）'!$K$15="",0,IF($B229&lt;'信用保険料計算書（上限2000万）'!$K$15,0,IF($B229&gt;'信用保険料計算書（上限2000万）'!$K$16,0,1)))</f>
        <v>0</v>
      </c>
      <c r="K229" s="209">
        <f>IF(J229=1,HLOOKUP(C229,'計算書（第4回）'!$C$123:$U$124,2,TRUE),0)</f>
        <v>0</v>
      </c>
      <c r="L229" s="209">
        <f>IF('信用保険料計算書（上限2000万）'!$M$15="",0,IF($B229&lt;'信用保険料計算書（上限2000万）'!$M$15,0,IF($B229&gt;'信用保険料計算書（上限2000万）'!$M$16,0,1)))</f>
        <v>0</v>
      </c>
      <c r="M229" s="209">
        <f>IF(L229=1,HLOOKUP(C229,'計算書（第5回）'!$C$123:$U$124,2,TRUE),0)</f>
        <v>0</v>
      </c>
      <c r="N229" s="209">
        <f>IF('信用保険料計算書（上限2000万）'!$O$15="",0,IF($B229&lt;'信用保険料計算書（上限2000万）'!$O$15,0,IF($B229&gt;'信用保険料計算書（上限2000万）'!$O$16,0,1)))</f>
        <v>0</v>
      </c>
      <c r="O229" s="209">
        <f>IF(N229=1,HLOOKUP(C229,'計算書（第6回）'!$C$123:$U$124,2,TRUE),0)</f>
        <v>0</v>
      </c>
      <c r="P229" s="209">
        <f>IF('信用保険料計算書（上限2000万）'!$Q$15="",0,IF($B229&lt;'信用保険料計算書（上限2000万）'!$Q$15,0,IF($B229&gt;'信用保険料計算書（上限2000万）'!$Q$16,0,1)))</f>
        <v>0</v>
      </c>
      <c r="Q229" s="209">
        <f>IF(P229=1,HLOOKUP(C229,'計算書（第7回）'!$C$123:$U$124,2,TRUE),0)</f>
        <v>0</v>
      </c>
      <c r="R229" s="212"/>
      <c r="S229" s="211">
        <f>COUNTIF($AB$13:$AB$19,"&lt;=2030/2/1")</f>
        <v>2</v>
      </c>
      <c r="T229" s="178">
        <f t="shared" si="23"/>
        <v>44743</v>
      </c>
      <c r="U229" s="181">
        <f t="shared" si="21"/>
        <v>0</v>
      </c>
      <c r="V229" s="182">
        <f t="shared" si="19"/>
        <v>0</v>
      </c>
      <c r="W229" s="245">
        <f t="shared" si="24"/>
        <v>0</v>
      </c>
      <c r="X229" s="182"/>
    </row>
    <row r="230" spans="2:24">
      <c r="B230" s="214">
        <f t="shared" si="22"/>
        <v>47543</v>
      </c>
      <c r="C230" s="198">
        <f t="shared" si="20"/>
        <v>47515</v>
      </c>
      <c r="D230" s="209">
        <f>IF(B230&lt;'信用保険料計算書（上限2000万）'!$E$15,0,IF(B230&gt;'信用保険料計算書（上限2000万）'!$E$16,0,1))</f>
        <v>0</v>
      </c>
      <c r="E230" s="209">
        <f>IF(D230=1,HLOOKUP(C230,'計算書（第1回）'!$C$123:$U$124,2,TRUE),0)</f>
        <v>0</v>
      </c>
      <c r="F230" s="209">
        <f>IF('信用保険料計算書（上限2000万）'!$G$15="",0,IF($B230&lt;'信用保険料計算書（上限2000万）'!$G$15,0,IF($B230&gt;'信用保険料計算書（上限2000万）'!$G$16,0,1)))</f>
        <v>0</v>
      </c>
      <c r="G230" s="209">
        <f>IF(F230=1,HLOOKUP(C230,'計算書（第2回）'!$C$123:$U$124,2,TRUE),0)</f>
        <v>0</v>
      </c>
      <c r="H230" s="209">
        <f>IF('信用保険料計算書（上限2000万）'!$I$15="",0,IF($B230&lt;'信用保険料計算書（上限2000万）'!$I$15,0,IF($B230&gt;'信用保険料計算書（上限2000万）'!$I$16,0,1)))</f>
        <v>0</v>
      </c>
      <c r="I230" s="209">
        <f>IF(H230=1,HLOOKUP(C230,'計算書（第3回）'!$C$123:$U$124,2,TRUE),0)</f>
        <v>0</v>
      </c>
      <c r="J230" s="209">
        <f>IF('信用保険料計算書（上限2000万）'!$K$15="",0,IF($B230&lt;'信用保険料計算書（上限2000万）'!$K$15,0,IF($B230&gt;'信用保険料計算書（上限2000万）'!$K$16,0,1)))</f>
        <v>0</v>
      </c>
      <c r="K230" s="209">
        <f>IF(J230=1,HLOOKUP(C230,'計算書（第4回）'!$C$123:$U$124,2,TRUE),0)</f>
        <v>0</v>
      </c>
      <c r="L230" s="209">
        <f>IF('信用保険料計算書（上限2000万）'!$M$15="",0,IF($B230&lt;'信用保険料計算書（上限2000万）'!$M$15,0,IF($B230&gt;'信用保険料計算書（上限2000万）'!$M$16,0,1)))</f>
        <v>0</v>
      </c>
      <c r="M230" s="209">
        <f>IF(L230=1,HLOOKUP(C230,'計算書（第5回）'!$C$123:$U$124,2,TRUE),0)</f>
        <v>0</v>
      </c>
      <c r="N230" s="209">
        <f>IF('信用保険料計算書（上限2000万）'!$O$15="",0,IF($B230&lt;'信用保険料計算書（上限2000万）'!$O$15,0,IF($B230&gt;'信用保険料計算書（上限2000万）'!$O$16,0,1)))</f>
        <v>0</v>
      </c>
      <c r="O230" s="209">
        <f>IF(N230=1,HLOOKUP(C230,'計算書（第6回）'!$C$123:$U$124,2,TRUE),0)</f>
        <v>0</v>
      </c>
      <c r="P230" s="209">
        <f>IF('信用保険料計算書（上限2000万）'!$Q$15="",0,IF($B230&lt;'信用保険料計算書（上限2000万）'!$Q$15,0,IF($B230&gt;'信用保険料計算書（上限2000万）'!$Q$16,0,1)))</f>
        <v>0</v>
      </c>
      <c r="Q230" s="209">
        <f>IF(P230=1,HLOOKUP(C230,'計算書（第7回）'!$C$123:$U$124,2,TRUE),0)</f>
        <v>0</v>
      </c>
      <c r="R230" s="212"/>
      <c r="S230" s="211">
        <f>COUNTIF($AB$13:$AB$19,"&lt;=2030/3/1")</f>
        <v>2</v>
      </c>
      <c r="T230" s="178">
        <f t="shared" si="23"/>
        <v>44743</v>
      </c>
      <c r="U230" s="181">
        <f t="shared" si="21"/>
        <v>0</v>
      </c>
      <c r="V230" s="182">
        <f t="shared" si="19"/>
        <v>0</v>
      </c>
      <c r="W230" s="245">
        <f t="shared" si="24"/>
        <v>0</v>
      </c>
      <c r="X230" s="183">
        <f>INT(SUM(W225:W230))</f>
        <v>0</v>
      </c>
    </row>
    <row r="231" spans="2:24">
      <c r="B231" s="214">
        <f t="shared" si="22"/>
        <v>47574</v>
      </c>
      <c r="C231" s="198">
        <f t="shared" si="20"/>
        <v>47543</v>
      </c>
      <c r="D231" s="209">
        <f>IF(B231&lt;'信用保険料計算書（上限2000万）'!$E$15,0,IF(B231&gt;'信用保険料計算書（上限2000万）'!$E$16,0,1))</f>
        <v>0</v>
      </c>
      <c r="E231" s="209">
        <f>IF(D231=1,HLOOKUP(C231,'計算書（第1回）'!$C$123:$U$124,2,TRUE),0)</f>
        <v>0</v>
      </c>
      <c r="F231" s="209">
        <f>IF('信用保険料計算書（上限2000万）'!$G$15="",0,IF($B231&lt;'信用保険料計算書（上限2000万）'!$G$15,0,IF($B231&gt;'信用保険料計算書（上限2000万）'!$G$16,0,1)))</f>
        <v>0</v>
      </c>
      <c r="G231" s="209">
        <f>IF(F231=1,HLOOKUP(C231,'計算書（第2回）'!$C$123:$U$124,2,TRUE),0)</f>
        <v>0</v>
      </c>
      <c r="H231" s="209">
        <f>IF('信用保険料計算書（上限2000万）'!$I$15="",0,IF($B231&lt;'信用保険料計算書（上限2000万）'!$I$15,0,IF($B231&gt;'信用保険料計算書（上限2000万）'!$I$16,0,1)))</f>
        <v>0</v>
      </c>
      <c r="I231" s="209">
        <f>IF(H231=1,HLOOKUP(C231,'計算書（第3回）'!$C$123:$U$124,2,TRUE),0)</f>
        <v>0</v>
      </c>
      <c r="J231" s="209">
        <f>IF('信用保険料計算書（上限2000万）'!$K$15="",0,IF($B231&lt;'信用保険料計算書（上限2000万）'!$K$15,0,IF($B231&gt;'信用保険料計算書（上限2000万）'!$K$16,0,1)))</f>
        <v>0</v>
      </c>
      <c r="K231" s="209">
        <f>IF(J231=1,HLOOKUP(C231,'計算書（第4回）'!$C$123:$U$124,2,TRUE),0)</f>
        <v>0</v>
      </c>
      <c r="L231" s="209">
        <f>IF('信用保険料計算書（上限2000万）'!$M$15="",0,IF($B231&lt;'信用保険料計算書（上限2000万）'!$M$15,0,IF($B231&gt;'信用保険料計算書（上限2000万）'!$M$16,0,1)))</f>
        <v>0</v>
      </c>
      <c r="M231" s="209">
        <f>IF(L231=1,HLOOKUP(C231,'計算書（第5回）'!$C$123:$U$124,2,TRUE),0)</f>
        <v>0</v>
      </c>
      <c r="N231" s="209">
        <f>IF('信用保険料計算書（上限2000万）'!$O$15="",0,IF($B231&lt;'信用保険料計算書（上限2000万）'!$O$15,0,IF($B231&gt;'信用保険料計算書（上限2000万）'!$O$16,0,1)))</f>
        <v>0</v>
      </c>
      <c r="O231" s="209">
        <f>IF(N231=1,HLOOKUP(C231,'計算書（第6回）'!$C$123:$U$124,2,TRUE),0)</f>
        <v>0</v>
      </c>
      <c r="P231" s="209">
        <f>IF('信用保険料計算書（上限2000万）'!$Q$15="",0,IF($B231&lt;'信用保険料計算書（上限2000万）'!$Q$15,0,IF($B231&gt;'信用保険料計算書（上限2000万）'!$Q$16,0,1)))</f>
        <v>0</v>
      </c>
      <c r="Q231" s="209">
        <f>IF(P231=1,HLOOKUP(C231,'計算書（第7回）'!$C$123:$U$124,2,TRUE),0)</f>
        <v>0</v>
      </c>
      <c r="R231" s="212"/>
      <c r="S231" s="211">
        <f>COUNTIF($AB$13:$AB$19,"&lt;=2030/4/1")</f>
        <v>2</v>
      </c>
      <c r="T231" s="178">
        <f t="shared" si="23"/>
        <v>44743</v>
      </c>
      <c r="U231" s="181">
        <f t="shared" si="21"/>
        <v>0</v>
      </c>
      <c r="V231" s="182">
        <f t="shared" ref="V231:V254" si="25">IF(U231=0,0,IF(U231&gt;VLOOKUP(T231,$AA$5:$AB$8,2,TRUE),VLOOKUP(T231,$AA$5:$AB$8,2,TRUE),U231))</f>
        <v>0</v>
      </c>
      <c r="W231" s="245">
        <f t="shared" si="24"/>
        <v>0</v>
      </c>
      <c r="X231" s="182"/>
    </row>
    <row r="232" spans="2:24">
      <c r="B232" s="214">
        <f t="shared" si="22"/>
        <v>47604</v>
      </c>
      <c r="C232" s="198">
        <f t="shared" si="20"/>
        <v>47574</v>
      </c>
      <c r="D232" s="209">
        <f>IF(B232&lt;'信用保険料計算書（上限2000万）'!$E$15,0,IF(B232&gt;'信用保険料計算書（上限2000万）'!$E$16,0,1))</f>
        <v>0</v>
      </c>
      <c r="E232" s="209">
        <f>IF(D232=1,HLOOKUP(C232,'計算書（第1回）'!$C$123:$U$124,2,TRUE),0)</f>
        <v>0</v>
      </c>
      <c r="F232" s="209">
        <f>IF('信用保険料計算書（上限2000万）'!$G$15="",0,IF($B232&lt;'信用保険料計算書（上限2000万）'!$G$15,0,IF($B232&gt;'信用保険料計算書（上限2000万）'!$G$16,0,1)))</f>
        <v>0</v>
      </c>
      <c r="G232" s="209">
        <f>IF(F232=1,HLOOKUP(C232,'計算書（第2回）'!$C$123:$U$124,2,TRUE),0)</f>
        <v>0</v>
      </c>
      <c r="H232" s="209">
        <f>IF('信用保険料計算書（上限2000万）'!$I$15="",0,IF($B232&lt;'信用保険料計算書（上限2000万）'!$I$15,0,IF($B232&gt;'信用保険料計算書（上限2000万）'!$I$16,0,1)))</f>
        <v>0</v>
      </c>
      <c r="I232" s="209">
        <f>IF(H232=1,HLOOKUP(C232,'計算書（第3回）'!$C$123:$U$124,2,TRUE),0)</f>
        <v>0</v>
      </c>
      <c r="J232" s="209">
        <f>IF('信用保険料計算書（上限2000万）'!$K$15="",0,IF($B232&lt;'信用保険料計算書（上限2000万）'!$K$15,0,IF($B232&gt;'信用保険料計算書（上限2000万）'!$K$16,0,1)))</f>
        <v>0</v>
      </c>
      <c r="K232" s="209">
        <f>IF(J232=1,HLOOKUP(C232,'計算書（第4回）'!$C$123:$U$124,2,TRUE),0)</f>
        <v>0</v>
      </c>
      <c r="L232" s="209">
        <f>IF('信用保険料計算書（上限2000万）'!$M$15="",0,IF($B232&lt;'信用保険料計算書（上限2000万）'!$M$15,0,IF($B232&gt;'信用保険料計算書（上限2000万）'!$M$16,0,1)))</f>
        <v>0</v>
      </c>
      <c r="M232" s="209">
        <f>IF(L232=1,HLOOKUP(C232,'計算書（第5回）'!$C$123:$U$124,2,TRUE),0)</f>
        <v>0</v>
      </c>
      <c r="N232" s="209">
        <f>IF('信用保険料計算書（上限2000万）'!$O$15="",0,IF($B232&lt;'信用保険料計算書（上限2000万）'!$O$15,0,IF($B232&gt;'信用保険料計算書（上限2000万）'!$O$16,0,1)))</f>
        <v>0</v>
      </c>
      <c r="O232" s="209">
        <f>IF(N232=1,HLOOKUP(C232,'計算書（第6回）'!$C$123:$U$124,2,TRUE),0)</f>
        <v>0</v>
      </c>
      <c r="P232" s="209">
        <f>IF('信用保険料計算書（上限2000万）'!$Q$15="",0,IF($B232&lt;'信用保険料計算書（上限2000万）'!$Q$15,0,IF($B232&gt;'信用保険料計算書（上限2000万）'!$Q$16,0,1)))</f>
        <v>0</v>
      </c>
      <c r="Q232" s="209">
        <f>IF(P232=1,HLOOKUP(C232,'計算書（第7回）'!$C$123:$U$124,2,TRUE),0)</f>
        <v>0</v>
      </c>
      <c r="R232" s="212"/>
      <c r="S232" s="211">
        <f>COUNTIF($AB$13:$AB$19,"&lt;=2030/5/1")</f>
        <v>2</v>
      </c>
      <c r="T232" s="178">
        <f t="shared" si="23"/>
        <v>44743</v>
      </c>
      <c r="U232" s="181">
        <f t="shared" si="21"/>
        <v>0</v>
      </c>
      <c r="V232" s="182">
        <f t="shared" si="25"/>
        <v>0</v>
      </c>
      <c r="W232" s="245">
        <f t="shared" si="24"/>
        <v>0</v>
      </c>
      <c r="X232" s="182"/>
    </row>
    <row r="233" spans="2:24">
      <c r="B233" s="214">
        <f t="shared" si="22"/>
        <v>47635</v>
      </c>
      <c r="C233" s="198">
        <f t="shared" si="20"/>
        <v>47604</v>
      </c>
      <c r="D233" s="209">
        <f>IF(B233&lt;'信用保険料計算書（上限2000万）'!$E$15,0,IF(B233&gt;'信用保険料計算書（上限2000万）'!$E$16,0,1))</f>
        <v>0</v>
      </c>
      <c r="E233" s="209">
        <f>IF(D233=1,HLOOKUP(C233,'計算書（第1回）'!$C$123:$U$124,2,TRUE),0)</f>
        <v>0</v>
      </c>
      <c r="F233" s="209">
        <f>IF('信用保険料計算書（上限2000万）'!$G$15="",0,IF($B233&lt;'信用保険料計算書（上限2000万）'!$G$15,0,IF($B233&gt;'信用保険料計算書（上限2000万）'!$G$16,0,1)))</f>
        <v>0</v>
      </c>
      <c r="G233" s="209">
        <f>IF(F233=1,HLOOKUP(C233,'計算書（第2回）'!$C$123:$U$124,2,TRUE),0)</f>
        <v>0</v>
      </c>
      <c r="H233" s="209">
        <f>IF('信用保険料計算書（上限2000万）'!$I$15="",0,IF($B233&lt;'信用保険料計算書（上限2000万）'!$I$15,0,IF($B233&gt;'信用保険料計算書（上限2000万）'!$I$16,0,1)))</f>
        <v>0</v>
      </c>
      <c r="I233" s="209">
        <f>IF(H233=1,HLOOKUP(C233,'計算書（第3回）'!$C$123:$U$124,2,TRUE),0)</f>
        <v>0</v>
      </c>
      <c r="J233" s="209">
        <f>IF('信用保険料計算書（上限2000万）'!$K$15="",0,IF($B233&lt;'信用保険料計算書（上限2000万）'!$K$15,0,IF($B233&gt;'信用保険料計算書（上限2000万）'!$K$16,0,1)))</f>
        <v>0</v>
      </c>
      <c r="K233" s="209">
        <f>IF(J233=1,HLOOKUP(C233,'計算書（第4回）'!$C$123:$U$124,2,TRUE),0)</f>
        <v>0</v>
      </c>
      <c r="L233" s="209">
        <f>IF('信用保険料計算書（上限2000万）'!$M$15="",0,IF($B233&lt;'信用保険料計算書（上限2000万）'!$M$15,0,IF($B233&gt;'信用保険料計算書（上限2000万）'!$M$16,0,1)))</f>
        <v>0</v>
      </c>
      <c r="M233" s="209">
        <f>IF(L233=1,HLOOKUP(C233,'計算書（第5回）'!$C$123:$U$124,2,TRUE),0)</f>
        <v>0</v>
      </c>
      <c r="N233" s="209">
        <f>IF('信用保険料計算書（上限2000万）'!$O$15="",0,IF($B233&lt;'信用保険料計算書（上限2000万）'!$O$15,0,IF($B233&gt;'信用保険料計算書（上限2000万）'!$O$16,0,1)))</f>
        <v>0</v>
      </c>
      <c r="O233" s="209">
        <f>IF(N233=1,HLOOKUP(C233,'計算書（第6回）'!$C$123:$U$124,2,TRUE),0)</f>
        <v>0</v>
      </c>
      <c r="P233" s="209">
        <f>IF('信用保険料計算書（上限2000万）'!$Q$15="",0,IF($B233&lt;'信用保険料計算書（上限2000万）'!$Q$15,0,IF($B233&gt;'信用保険料計算書（上限2000万）'!$Q$16,0,1)))</f>
        <v>0</v>
      </c>
      <c r="Q233" s="209">
        <f>IF(P233=1,HLOOKUP(C233,'計算書（第7回）'!$C$123:$U$124,2,TRUE),0)</f>
        <v>0</v>
      </c>
      <c r="R233" s="212"/>
      <c r="S233" s="211">
        <f>COUNTIF($AB$13:$AB$19,"&lt;=2030/6/1")</f>
        <v>2</v>
      </c>
      <c r="T233" s="178">
        <f t="shared" si="23"/>
        <v>44743</v>
      </c>
      <c r="U233" s="181">
        <f t="shared" si="21"/>
        <v>0</v>
      </c>
      <c r="V233" s="182">
        <f t="shared" si="25"/>
        <v>0</v>
      </c>
      <c r="W233" s="245">
        <f t="shared" si="24"/>
        <v>0</v>
      </c>
      <c r="X233" s="182"/>
    </row>
    <row r="234" spans="2:24">
      <c r="B234" s="214">
        <f t="shared" si="22"/>
        <v>47665</v>
      </c>
      <c r="C234" s="198">
        <f t="shared" si="20"/>
        <v>47635</v>
      </c>
      <c r="D234" s="209">
        <f>IF(B234&lt;'信用保険料計算書（上限2000万）'!$E$15,0,IF(B234&gt;'信用保険料計算書（上限2000万）'!$E$16,0,1))</f>
        <v>0</v>
      </c>
      <c r="E234" s="209">
        <f>IF(D234=1,HLOOKUP(C234,'計算書（第1回）'!$C$123:$U$124,2,TRUE),0)</f>
        <v>0</v>
      </c>
      <c r="F234" s="209">
        <f>IF('信用保険料計算書（上限2000万）'!$G$15="",0,IF($B234&lt;'信用保険料計算書（上限2000万）'!$G$15,0,IF($B234&gt;'信用保険料計算書（上限2000万）'!$G$16,0,1)))</f>
        <v>0</v>
      </c>
      <c r="G234" s="209">
        <f>IF(F234=1,HLOOKUP(C234,'計算書（第2回）'!$C$123:$U$124,2,TRUE),0)</f>
        <v>0</v>
      </c>
      <c r="H234" s="209">
        <f>IF('信用保険料計算書（上限2000万）'!$I$15="",0,IF($B234&lt;'信用保険料計算書（上限2000万）'!$I$15,0,IF($B234&gt;'信用保険料計算書（上限2000万）'!$I$16,0,1)))</f>
        <v>0</v>
      </c>
      <c r="I234" s="209">
        <f>IF(H234=1,HLOOKUP(C234,'計算書（第3回）'!$C$123:$U$124,2,TRUE),0)</f>
        <v>0</v>
      </c>
      <c r="J234" s="209">
        <f>IF('信用保険料計算書（上限2000万）'!$K$15="",0,IF($B234&lt;'信用保険料計算書（上限2000万）'!$K$15,0,IF($B234&gt;'信用保険料計算書（上限2000万）'!$K$16,0,1)))</f>
        <v>0</v>
      </c>
      <c r="K234" s="209">
        <f>IF(J234=1,HLOOKUP(C234,'計算書（第4回）'!$C$123:$U$124,2,TRUE),0)</f>
        <v>0</v>
      </c>
      <c r="L234" s="209">
        <f>IF('信用保険料計算書（上限2000万）'!$M$15="",0,IF($B234&lt;'信用保険料計算書（上限2000万）'!$M$15,0,IF($B234&gt;'信用保険料計算書（上限2000万）'!$M$16,0,1)))</f>
        <v>0</v>
      </c>
      <c r="M234" s="209">
        <f>IF(L234=1,HLOOKUP(C234,'計算書（第5回）'!$C$123:$U$124,2,TRUE),0)</f>
        <v>0</v>
      </c>
      <c r="N234" s="209">
        <f>IF('信用保険料計算書（上限2000万）'!$O$15="",0,IF($B234&lt;'信用保険料計算書（上限2000万）'!$O$15,0,IF($B234&gt;'信用保険料計算書（上限2000万）'!$O$16,0,1)))</f>
        <v>0</v>
      </c>
      <c r="O234" s="209">
        <f>IF(N234=1,HLOOKUP(C234,'計算書（第6回）'!$C$123:$U$124,2,TRUE),0)</f>
        <v>0</v>
      </c>
      <c r="P234" s="209">
        <f>IF('信用保険料計算書（上限2000万）'!$Q$15="",0,IF($B234&lt;'信用保険料計算書（上限2000万）'!$Q$15,0,IF($B234&gt;'信用保険料計算書（上限2000万）'!$Q$16,0,1)))</f>
        <v>0</v>
      </c>
      <c r="Q234" s="209">
        <f>IF(P234=1,HLOOKUP(C234,'計算書（第7回）'!$C$123:$U$124,2,TRUE),0)</f>
        <v>0</v>
      </c>
      <c r="R234" s="212"/>
      <c r="S234" s="211">
        <f>COUNTIF($AB$13:$AB$19,"&lt;=2030/7/1")</f>
        <v>2</v>
      </c>
      <c r="T234" s="178">
        <f t="shared" si="23"/>
        <v>44743</v>
      </c>
      <c r="U234" s="181">
        <f t="shared" si="21"/>
        <v>0</v>
      </c>
      <c r="V234" s="182">
        <f t="shared" si="25"/>
        <v>0</v>
      </c>
      <c r="W234" s="245">
        <f t="shared" si="24"/>
        <v>0</v>
      </c>
      <c r="X234" s="182"/>
    </row>
    <row r="235" spans="2:24">
      <c r="B235" s="214">
        <f t="shared" si="22"/>
        <v>47696</v>
      </c>
      <c r="C235" s="198">
        <f t="shared" si="20"/>
        <v>47665</v>
      </c>
      <c r="D235" s="209">
        <f>IF(B235&lt;'信用保険料計算書（上限2000万）'!$E$15,0,IF(B235&gt;'信用保険料計算書（上限2000万）'!$E$16,0,1))</f>
        <v>0</v>
      </c>
      <c r="E235" s="209">
        <f>IF(D235=1,HLOOKUP(C235,'計算書（第1回）'!$C$123:$U$124,2,TRUE),0)</f>
        <v>0</v>
      </c>
      <c r="F235" s="209">
        <f>IF('信用保険料計算書（上限2000万）'!$G$15="",0,IF($B235&lt;'信用保険料計算書（上限2000万）'!$G$15,0,IF($B235&gt;'信用保険料計算書（上限2000万）'!$G$16,0,1)))</f>
        <v>0</v>
      </c>
      <c r="G235" s="209">
        <f>IF(F235=1,HLOOKUP(C235,'計算書（第2回）'!$C$123:$U$124,2,TRUE),0)</f>
        <v>0</v>
      </c>
      <c r="H235" s="209">
        <f>IF('信用保険料計算書（上限2000万）'!$I$15="",0,IF($B235&lt;'信用保険料計算書（上限2000万）'!$I$15,0,IF($B235&gt;'信用保険料計算書（上限2000万）'!$I$16,0,1)))</f>
        <v>0</v>
      </c>
      <c r="I235" s="209">
        <f>IF(H235=1,HLOOKUP(C235,'計算書（第3回）'!$C$123:$U$124,2,TRUE),0)</f>
        <v>0</v>
      </c>
      <c r="J235" s="209">
        <f>IF('信用保険料計算書（上限2000万）'!$K$15="",0,IF($B235&lt;'信用保険料計算書（上限2000万）'!$K$15,0,IF($B235&gt;'信用保険料計算書（上限2000万）'!$K$16,0,1)))</f>
        <v>0</v>
      </c>
      <c r="K235" s="209">
        <f>IF(J235=1,HLOOKUP(C235,'計算書（第4回）'!$C$123:$U$124,2,TRUE),0)</f>
        <v>0</v>
      </c>
      <c r="L235" s="209">
        <f>IF('信用保険料計算書（上限2000万）'!$M$15="",0,IF($B235&lt;'信用保険料計算書（上限2000万）'!$M$15,0,IF($B235&gt;'信用保険料計算書（上限2000万）'!$M$16,0,1)))</f>
        <v>0</v>
      </c>
      <c r="M235" s="209">
        <f>IF(L235=1,HLOOKUP(C235,'計算書（第5回）'!$C$123:$U$124,2,TRUE),0)</f>
        <v>0</v>
      </c>
      <c r="N235" s="209">
        <f>IF('信用保険料計算書（上限2000万）'!$O$15="",0,IF($B235&lt;'信用保険料計算書（上限2000万）'!$O$15,0,IF($B235&gt;'信用保険料計算書（上限2000万）'!$O$16,0,1)))</f>
        <v>0</v>
      </c>
      <c r="O235" s="209">
        <f>IF(N235=1,HLOOKUP(C235,'計算書（第6回）'!$C$123:$U$124,2,TRUE),0)</f>
        <v>0</v>
      </c>
      <c r="P235" s="209">
        <f>IF('信用保険料計算書（上限2000万）'!$Q$15="",0,IF($B235&lt;'信用保険料計算書（上限2000万）'!$Q$15,0,IF($B235&gt;'信用保険料計算書（上限2000万）'!$Q$16,0,1)))</f>
        <v>0</v>
      </c>
      <c r="Q235" s="209">
        <f>IF(P235=1,HLOOKUP(C235,'計算書（第7回）'!$C$123:$U$124,2,TRUE),0)</f>
        <v>0</v>
      </c>
      <c r="R235" s="212"/>
      <c r="S235" s="211">
        <f>COUNTIF($AB$13:$AB$19,"&lt;=2030/8/1")</f>
        <v>2</v>
      </c>
      <c r="T235" s="178">
        <f t="shared" si="23"/>
        <v>44743</v>
      </c>
      <c r="U235" s="181">
        <f t="shared" si="21"/>
        <v>0</v>
      </c>
      <c r="V235" s="182">
        <f t="shared" si="25"/>
        <v>0</v>
      </c>
      <c r="W235" s="245">
        <f t="shared" si="24"/>
        <v>0</v>
      </c>
      <c r="X235" s="182"/>
    </row>
    <row r="236" spans="2:24">
      <c r="B236" s="214">
        <f t="shared" si="22"/>
        <v>47727</v>
      </c>
      <c r="C236" s="198">
        <f t="shared" si="20"/>
        <v>47696</v>
      </c>
      <c r="D236" s="209">
        <f>IF(B236&lt;'信用保険料計算書（上限2000万）'!$E$15,0,IF(B236&gt;'信用保険料計算書（上限2000万）'!$E$16,0,1))</f>
        <v>0</v>
      </c>
      <c r="E236" s="209">
        <f>IF(D236=1,HLOOKUP(C236,'計算書（第1回）'!$C$123:$U$124,2,TRUE),0)</f>
        <v>0</v>
      </c>
      <c r="F236" s="209">
        <f>IF('信用保険料計算書（上限2000万）'!$G$15="",0,IF($B236&lt;'信用保険料計算書（上限2000万）'!$G$15,0,IF($B236&gt;'信用保険料計算書（上限2000万）'!$G$16,0,1)))</f>
        <v>0</v>
      </c>
      <c r="G236" s="209">
        <f>IF(F236=1,HLOOKUP(C236,'計算書（第2回）'!$C$123:$U$124,2,TRUE),0)</f>
        <v>0</v>
      </c>
      <c r="H236" s="209">
        <f>IF('信用保険料計算書（上限2000万）'!$I$15="",0,IF($B236&lt;'信用保険料計算書（上限2000万）'!$I$15,0,IF($B236&gt;'信用保険料計算書（上限2000万）'!$I$16,0,1)))</f>
        <v>0</v>
      </c>
      <c r="I236" s="209">
        <f>IF(H236=1,HLOOKUP(C236,'計算書（第3回）'!$C$123:$U$124,2,TRUE),0)</f>
        <v>0</v>
      </c>
      <c r="J236" s="209">
        <f>IF('信用保険料計算書（上限2000万）'!$K$15="",0,IF($B236&lt;'信用保険料計算書（上限2000万）'!$K$15,0,IF($B236&gt;'信用保険料計算書（上限2000万）'!$K$16,0,1)))</f>
        <v>0</v>
      </c>
      <c r="K236" s="209">
        <f>IF(J236=1,HLOOKUP(C236,'計算書（第4回）'!$C$123:$U$124,2,TRUE),0)</f>
        <v>0</v>
      </c>
      <c r="L236" s="209">
        <f>IF('信用保険料計算書（上限2000万）'!$M$15="",0,IF($B236&lt;'信用保険料計算書（上限2000万）'!$M$15,0,IF($B236&gt;'信用保険料計算書（上限2000万）'!$M$16,0,1)))</f>
        <v>0</v>
      </c>
      <c r="M236" s="209">
        <f>IF(L236=1,HLOOKUP(C236,'計算書（第5回）'!$C$123:$U$124,2,TRUE),0)</f>
        <v>0</v>
      </c>
      <c r="N236" s="209">
        <f>IF('信用保険料計算書（上限2000万）'!$O$15="",0,IF($B236&lt;'信用保険料計算書（上限2000万）'!$O$15,0,IF($B236&gt;'信用保険料計算書（上限2000万）'!$O$16,0,1)))</f>
        <v>0</v>
      </c>
      <c r="O236" s="209">
        <f>IF(N236=1,HLOOKUP(C236,'計算書（第6回）'!$C$123:$U$124,2,TRUE),0)</f>
        <v>0</v>
      </c>
      <c r="P236" s="209">
        <f>IF('信用保険料計算書（上限2000万）'!$Q$15="",0,IF($B236&lt;'信用保険料計算書（上限2000万）'!$Q$15,0,IF($B236&gt;'信用保険料計算書（上限2000万）'!$Q$16,0,1)))</f>
        <v>0</v>
      </c>
      <c r="Q236" s="209">
        <f>IF(P236=1,HLOOKUP(C236,'計算書（第7回）'!$C$123:$U$124,2,TRUE),0)</f>
        <v>0</v>
      </c>
      <c r="R236" s="212"/>
      <c r="S236" s="211">
        <f>COUNTIF($AB$13:$AB$19,"&lt;=2030/9/1")</f>
        <v>2</v>
      </c>
      <c r="T236" s="178">
        <f t="shared" si="23"/>
        <v>44743</v>
      </c>
      <c r="U236" s="181">
        <f t="shared" si="21"/>
        <v>0</v>
      </c>
      <c r="V236" s="182">
        <f t="shared" si="25"/>
        <v>0</v>
      </c>
      <c r="W236" s="245">
        <f t="shared" si="24"/>
        <v>0</v>
      </c>
      <c r="X236" s="183">
        <f>INT(SUM(W231:W236))</f>
        <v>0</v>
      </c>
    </row>
    <row r="237" spans="2:24">
      <c r="B237" s="214">
        <f t="shared" si="22"/>
        <v>47757</v>
      </c>
      <c r="C237" s="198">
        <f t="shared" si="20"/>
        <v>47727</v>
      </c>
      <c r="D237" s="209">
        <f>IF(B237&lt;'信用保険料計算書（上限2000万）'!$E$15,0,IF(B237&gt;'信用保険料計算書（上限2000万）'!$E$16,0,1))</f>
        <v>0</v>
      </c>
      <c r="E237" s="209">
        <f>IF(D237=1,HLOOKUP(C237,'計算書（第1回）'!$C$123:$U$124,2,TRUE),0)</f>
        <v>0</v>
      </c>
      <c r="F237" s="209">
        <f>IF('信用保険料計算書（上限2000万）'!$G$15="",0,IF($B237&lt;'信用保険料計算書（上限2000万）'!$G$15,0,IF($B237&gt;'信用保険料計算書（上限2000万）'!$G$16,0,1)))</f>
        <v>0</v>
      </c>
      <c r="G237" s="209">
        <f>IF(F237=1,HLOOKUP(C237,'計算書（第2回）'!$C$123:$U$124,2,TRUE),0)</f>
        <v>0</v>
      </c>
      <c r="H237" s="209">
        <f>IF('信用保険料計算書（上限2000万）'!$I$15="",0,IF($B237&lt;'信用保険料計算書（上限2000万）'!$I$15,0,IF($B237&gt;'信用保険料計算書（上限2000万）'!$I$16,0,1)))</f>
        <v>0</v>
      </c>
      <c r="I237" s="209">
        <f>IF(H237=1,HLOOKUP(C237,'計算書（第3回）'!$C$123:$U$124,2,TRUE),0)</f>
        <v>0</v>
      </c>
      <c r="J237" s="209">
        <f>IF('信用保険料計算書（上限2000万）'!$K$15="",0,IF($B237&lt;'信用保険料計算書（上限2000万）'!$K$15,0,IF($B237&gt;'信用保険料計算書（上限2000万）'!$K$16,0,1)))</f>
        <v>0</v>
      </c>
      <c r="K237" s="209">
        <f>IF(J237=1,HLOOKUP(C237,'計算書（第4回）'!$C$123:$U$124,2,TRUE),0)</f>
        <v>0</v>
      </c>
      <c r="L237" s="209">
        <f>IF('信用保険料計算書（上限2000万）'!$M$15="",0,IF($B237&lt;'信用保険料計算書（上限2000万）'!$M$15,0,IF($B237&gt;'信用保険料計算書（上限2000万）'!$M$16,0,1)))</f>
        <v>0</v>
      </c>
      <c r="M237" s="209">
        <f>IF(L237=1,HLOOKUP(C237,'計算書（第5回）'!$C$123:$U$124,2,TRUE),0)</f>
        <v>0</v>
      </c>
      <c r="N237" s="209">
        <f>IF('信用保険料計算書（上限2000万）'!$O$15="",0,IF($B237&lt;'信用保険料計算書（上限2000万）'!$O$15,0,IF($B237&gt;'信用保険料計算書（上限2000万）'!$O$16,0,1)))</f>
        <v>0</v>
      </c>
      <c r="O237" s="209">
        <f>IF(N237=1,HLOOKUP(C237,'計算書（第6回）'!$C$123:$U$124,2,TRUE),0)</f>
        <v>0</v>
      </c>
      <c r="P237" s="209">
        <f>IF('信用保険料計算書（上限2000万）'!$Q$15="",0,IF($B237&lt;'信用保険料計算書（上限2000万）'!$Q$15,0,IF($B237&gt;'信用保険料計算書（上限2000万）'!$Q$16,0,1)))</f>
        <v>0</v>
      </c>
      <c r="Q237" s="209">
        <f>IF(P237=1,HLOOKUP(C237,'計算書（第7回）'!$C$123:$U$124,2,TRUE),0)</f>
        <v>0</v>
      </c>
      <c r="R237" s="212"/>
      <c r="S237" s="211">
        <f>COUNTIF($AB$13:$AB$19,"&lt;=2030/10/1")</f>
        <v>2</v>
      </c>
      <c r="T237" s="178">
        <f t="shared" si="23"/>
        <v>44743</v>
      </c>
      <c r="U237" s="181">
        <f t="shared" si="21"/>
        <v>0</v>
      </c>
      <c r="V237" s="182">
        <f t="shared" si="25"/>
        <v>0</v>
      </c>
      <c r="W237" s="245">
        <f t="shared" si="24"/>
        <v>0</v>
      </c>
      <c r="X237" s="182"/>
    </row>
    <row r="238" spans="2:24">
      <c r="B238" s="214">
        <f t="shared" si="22"/>
        <v>47788</v>
      </c>
      <c r="C238" s="198">
        <f t="shared" si="20"/>
        <v>47757</v>
      </c>
      <c r="D238" s="209">
        <f>IF(B238&lt;'信用保険料計算書（上限2000万）'!$E$15,0,IF(B238&gt;'信用保険料計算書（上限2000万）'!$E$16,0,1))</f>
        <v>0</v>
      </c>
      <c r="E238" s="209">
        <f>IF(D238=1,HLOOKUP(C238,'計算書（第1回）'!$C$123:$U$124,2,TRUE),0)</f>
        <v>0</v>
      </c>
      <c r="F238" s="209">
        <f>IF('信用保険料計算書（上限2000万）'!$G$15="",0,IF($B238&lt;'信用保険料計算書（上限2000万）'!$G$15,0,IF($B238&gt;'信用保険料計算書（上限2000万）'!$G$16,0,1)))</f>
        <v>0</v>
      </c>
      <c r="G238" s="209">
        <f>IF(F238=1,HLOOKUP(C238,'計算書（第2回）'!$C$123:$U$124,2,TRUE),0)</f>
        <v>0</v>
      </c>
      <c r="H238" s="209">
        <f>IF('信用保険料計算書（上限2000万）'!$I$15="",0,IF($B238&lt;'信用保険料計算書（上限2000万）'!$I$15,0,IF($B238&gt;'信用保険料計算書（上限2000万）'!$I$16,0,1)))</f>
        <v>0</v>
      </c>
      <c r="I238" s="209">
        <f>IF(H238=1,HLOOKUP(C238,'計算書（第3回）'!$C$123:$U$124,2,TRUE),0)</f>
        <v>0</v>
      </c>
      <c r="J238" s="209">
        <f>IF('信用保険料計算書（上限2000万）'!$K$15="",0,IF($B238&lt;'信用保険料計算書（上限2000万）'!$K$15,0,IF($B238&gt;'信用保険料計算書（上限2000万）'!$K$16,0,1)))</f>
        <v>0</v>
      </c>
      <c r="K238" s="209">
        <f>IF(J238=1,HLOOKUP(C238,'計算書（第4回）'!$C$123:$U$124,2,TRUE),0)</f>
        <v>0</v>
      </c>
      <c r="L238" s="209">
        <f>IF('信用保険料計算書（上限2000万）'!$M$15="",0,IF($B238&lt;'信用保険料計算書（上限2000万）'!$M$15,0,IF($B238&gt;'信用保険料計算書（上限2000万）'!$M$16,0,1)))</f>
        <v>0</v>
      </c>
      <c r="M238" s="209">
        <f>IF(L238=1,HLOOKUP(C238,'計算書（第5回）'!$C$123:$U$124,2,TRUE),0)</f>
        <v>0</v>
      </c>
      <c r="N238" s="209">
        <f>IF('信用保険料計算書（上限2000万）'!$O$15="",0,IF($B238&lt;'信用保険料計算書（上限2000万）'!$O$15,0,IF($B238&gt;'信用保険料計算書（上限2000万）'!$O$16,0,1)))</f>
        <v>0</v>
      </c>
      <c r="O238" s="209">
        <f>IF(N238=1,HLOOKUP(C238,'計算書（第6回）'!$C$123:$U$124,2,TRUE),0)</f>
        <v>0</v>
      </c>
      <c r="P238" s="209">
        <f>IF('信用保険料計算書（上限2000万）'!$Q$15="",0,IF($B238&lt;'信用保険料計算書（上限2000万）'!$Q$15,0,IF($B238&gt;'信用保険料計算書（上限2000万）'!$Q$16,0,1)))</f>
        <v>0</v>
      </c>
      <c r="Q238" s="209">
        <f>IF(P238=1,HLOOKUP(C238,'計算書（第7回）'!$C$123:$U$124,2,TRUE),0)</f>
        <v>0</v>
      </c>
      <c r="R238" s="212"/>
      <c r="S238" s="211">
        <f>COUNTIF($AB$13:$AB$19,"&lt;=2030/11/1")</f>
        <v>2</v>
      </c>
      <c r="T238" s="178">
        <f t="shared" si="23"/>
        <v>44743</v>
      </c>
      <c r="U238" s="181">
        <f t="shared" si="21"/>
        <v>0</v>
      </c>
      <c r="V238" s="182">
        <f t="shared" si="25"/>
        <v>0</v>
      </c>
      <c r="W238" s="245">
        <f t="shared" si="24"/>
        <v>0</v>
      </c>
      <c r="X238" s="182"/>
    </row>
    <row r="239" spans="2:24">
      <c r="B239" s="214">
        <f t="shared" si="22"/>
        <v>47818</v>
      </c>
      <c r="C239" s="198">
        <f t="shared" si="20"/>
        <v>47788</v>
      </c>
      <c r="D239" s="209">
        <f>IF(B239&lt;'信用保険料計算書（上限2000万）'!$E$15,0,IF(B239&gt;'信用保険料計算書（上限2000万）'!$E$16,0,1))</f>
        <v>0</v>
      </c>
      <c r="E239" s="209">
        <f>IF(D239=1,HLOOKUP(C239,'計算書（第1回）'!$C$123:$U$124,2,TRUE),0)</f>
        <v>0</v>
      </c>
      <c r="F239" s="209">
        <f>IF('信用保険料計算書（上限2000万）'!$G$15="",0,IF($B239&lt;'信用保険料計算書（上限2000万）'!$G$15,0,IF($B239&gt;'信用保険料計算書（上限2000万）'!$G$16,0,1)))</f>
        <v>0</v>
      </c>
      <c r="G239" s="209">
        <f>IF(F239=1,HLOOKUP(C239,'計算書（第2回）'!$C$123:$U$124,2,TRUE),0)</f>
        <v>0</v>
      </c>
      <c r="H239" s="209">
        <f>IF('信用保険料計算書（上限2000万）'!$I$15="",0,IF($B239&lt;'信用保険料計算書（上限2000万）'!$I$15,0,IF($B239&gt;'信用保険料計算書（上限2000万）'!$I$16,0,1)))</f>
        <v>0</v>
      </c>
      <c r="I239" s="209">
        <f>IF(H239=1,HLOOKUP(C239,'計算書（第3回）'!$C$123:$U$124,2,TRUE),0)</f>
        <v>0</v>
      </c>
      <c r="J239" s="209">
        <f>IF('信用保険料計算書（上限2000万）'!$K$15="",0,IF($B239&lt;'信用保険料計算書（上限2000万）'!$K$15,0,IF($B239&gt;'信用保険料計算書（上限2000万）'!$K$16,0,1)))</f>
        <v>0</v>
      </c>
      <c r="K239" s="209">
        <f>IF(J239=1,HLOOKUP(C239,'計算書（第4回）'!$C$123:$U$124,2,TRUE),0)</f>
        <v>0</v>
      </c>
      <c r="L239" s="209">
        <f>IF('信用保険料計算書（上限2000万）'!$M$15="",0,IF($B239&lt;'信用保険料計算書（上限2000万）'!$M$15,0,IF($B239&gt;'信用保険料計算書（上限2000万）'!$M$16,0,1)))</f>
        <v>0</v>
      </c>
      <c r="M239" s="209">
        <f>IF(L239=1,HLOOKUP(C239,'計算書（第5回）'!$C$123:$U$124,2,TRUE),0)</f>
        <v>0</v>
      </c>
      <c r="N239" s="209">
        <f>IF('信用保険料計算書（上限2000万）'!$O$15="",0,IF($B239&lt;'信用保険料計算書（上限2000万）'!$O$15,0,IF($B239&gt;'信用保険料計算書（上限2000万）'!$O$16,0,1)))</f>
        <v>0</v>
      </c>
      <c r="O239" s="209">
        <f>IF(N239=1,HLOOKUP(C239,'計算書（第6回）'!$C$123:$U$124,2,TRUE),0)</f>
        <v>0</v>
      </c>
      <c r="P239" s="209">
        <f>IF('信用保険料計算書（上限2000万）'!$Q$15="",0,IF($B239&lt;'信用保険料計算書（上限2000万）'!$Q$15,0,IF($B239&gt;'信用保険料計算書（上限2000万）'!$Q$16,0,1)))</f>
        <v>0</v>
      </c>
      <c r="Q239" s="209">
        <f>IF(P239=1,HLOOKUP(C239,'計算書（第7回）'!$C$123:$U$124,2,TRUE),0)</f>
        <v>0</v>
      </c>
      <c r="R239" s="212"/>
      <c r="S239" s="211">
        <f>COUNTIF($AB$13:$AB$19,"&lt;=2030/12/1")</f>
        <v>2</v>
      </c>
      <c r="T239" s="178">
        <f t="shared" si="23"/>
        <v>44743</v>
      </c>
      <c r="U239" s="181">
        <f t="shared" si="21"/>
        <v>0</v>
      </c>
      <c r="V239" s="182">
        <f t="shared" si="25"/>
        <v>0</v>
      </c>
      <c r="W239" s="245">
        <f t="shared" si="24"/>
        <v>0</v>
      </c>
      <c r="X239" s="182"/>
    </row>
    <row r="240" spans="2:24">
      <c r="B240" s="214">
        <f t="shared" si="22"/>
        <v>47849</v>
      </c>
      <c r="C240" s="198">
        <f t="shared" si="20"/>
        <v>47818</v>
      </c>
      <c r="D240" s="209">
        <f>IF(B240&lt;'信用保険料計算書（上限2000万）'!$E$15,0,IF(B240&gt;'信用保険料計算書（上限2000万）'!$E$16,0,1))</f>
        <v>0</v>
      </c>
      <c r="E240" s="209">
        <f>IF(D240=1,HLOOKUP(C240,'計算書（第1回）'!$C$123:$U$124,2,TRUE),0)</f>
        <v>0</v>
      </c>
      <c r="F240" s="209">
        <f>IF('信用保険料計算書（上限2000万）'!$G$15="",0,IF($B240&lt;'信用保険料計算書（上限2000万）'!$G$15,0,IF($B240&gt;'信用保険料計算書（上限2000万）'!$G$16,0,1)))</f>
        <v>0</v>
      </c>
      <c r="G240" s="209">
        <f>IF(F240=1,HLOOKUP(C240,'計算書（第2回）'!$C$123:$U$124,2,TRUE),0)</f>
        <v>0</v>
      </c>
      <c r="H240" s="209">
        <f>IF('信用保険料計算書（上限2000万）'!$I$15="",0,IF($B240&lt;'信用保険料計算書（上限2000万）'!$I$15,0,IF($B240&gt;'信用保険料計算書（上限2000万）'!$I$16,0,1)))</f>
        <v>0</v>
      </c>
      <c r="I240" s="209">
        <f>IF(H240=1,HLOOKUP(C240,'計算書（第3回）'!$C$123:$U$124,2,TRUE),0)</f>
        <v>0</v>
      </c>
      <c r="J240" s="209">
        <f>IF('信用保険料計算書（上限2000万）'!$K$15="",0,IF($B240&lt;'信用保険料計算書（上限2000万）'!$K$15,0,IF($B240&gt;'信用保険料計算書（上限2000万）'!$K$16,0,1)))</f>
        <v>0</v>
      </c>
      <c r="K240" s="209">
        <f>IF(J240=1,HLOOKUP(C240,'計算書（第4回）'!$C$123:$U$124,2,TRUE),0)</f>
        <v>0</v>
      </c>
      <c r="L240" s="209">
        <f>IF('信用保険料計算書（上限2000万）'!$M$15="",0,IF($B240&lt;'信用保険料計算書（上限2000万）'!$M$15,0,IF($B240&gt;'信用保険料計算書（上限2000万）'!$M$16,0,1)))</f>
        <v>0</v>
      </c>
      <c r="M240" s="209">
        <f>IF(L240=1,HLOOKUP(C240,'計算書（第5回）'!$C$123:$U$124,2,TRUE),0)</f>
        <v>0</v>
      </c>
      <c r="N240" s="209">
        <f>IF('信用保険料計算書（上限2000万）'!$O$15="",0,IF($B240&lt;'信用保険料計算書（上限2000万）'!$O$15,0,IF($B240&gt;'信用保険料計算書（上限2000万）'!$O$16,0,1)))</f>
        <v>0</v>
      </c>
      <c r="O240" s="209">
        <f>IF(N240=1,HLOOKUP(C240,'計算書（第6回）'!$C$123:$U$124,2,TRUE),0)</f>
        <v>0</v>
      </c>
      <c r="P240" s="209">
        <f>IF('信用保険料計算書（上限2000万）'!$Q$15="",0,IF($B240&lt;'信用保険料計算書（上限2000万）'!$Q$15,0,IF($B240&gt;'信用保険料計算書（上限2000万）'!$Q$16,0,1)))</f>
        <v>0</v>
      </c>
      <c r="Q240" s="209">
        <f>IF(P240=1,HLOOKUP(C240,'計算書（第7回）'!$C$123:$U$124,2,TRUE),0)</f>
        <v>0</v>
      </c>
      <c r="R240" s="213"/>
      <c r="S240" s="211">
        <f>COUNTIF($AB$13:$AB$19,"&lt;=2031/1/1")</f>
        <v>2</v>
      </c>
      <c r="T240" s="178">
        <f t="shared" si="23"/>
        <v>44743</v>
      </c>
      <c r="U240" s="181">
        <f t="shared" si="21"/>
        <v>0</v>
      </c>
      <c r="V240" s="182">
        <f t="shared" si="25"/>
        <v>0</v>
      </c>
      <c r="W240" s="245">
        <f t="shared" si="24"/>
        <v>0</v>
      </c>
      <c r="X240" s="182"/>
    </row>
    <row r="241" spans="2:24">
      <c r="B241" s="214">
        <f t="shared" si="22"/>
        <v>47880</v>
      </c>
      <c r="C241" s="198">
        <f t="shared" si="20"/>
        <v>47849</v>
      </c>
      <c r="D241" s="209">
        <f>IF(B241&lt;'信用保険料計算書（上限2000万）'!$E$15,0,IF(B241&gt;'信用保険料計算書（上限2000万）'!$E$16,0,1))</f>
        <v>0</v>
      </c>
      <c r="E241" s="209">
        <f>IF(D241=1,HLOOKUP(C241,'計算書（第1回）'!$C$123:$U$124,2,TRUE),0)</f>
        <v>0</v>
      </c>
      <c r="F241" s="209">
        <f>IF('信用保険料計算書（上限2000万）'!$G$15="",0,IF($B241&lt;'信用保険料計算書（上限2000万）'!$G$15,0,IF($B241&gt;'信用保険料計算書（上限2000万）'!$G$16,0,1)))</f>
        <v>0</v>
      </c>
      <c r="G241" s="209">
        <f>IF(F241=1,HLOOKUP(C241,'計算書（第2回）'!$C$123:$U$124,2,TRUE),0)</f>
        <v>0</v>
      </c>
      <c r="H241" s="209">
        <f>IF('信用保険料計算書（上限2000万）'!$I$15="",0,IF($B241&lt;'信用保険料計算書（上限2000万）'!$I$15,0,IF($B241&gt;'信用保険料計算書（上限2000万）'!$I$16,0,1)))</f>
        <v>0</v>
      </c>
      <c r="I241" s="209">
        <f>IF(H241=1,HLOOKUP(C241,'計算書（第3回）'!$C$123:$U$124,2,TRUE),0)</f>
        <v>0</v>
      </c>
      <c r="J241" s="209">
        <f>IF('信用保険料計算書（上限2000万）'!$K$15="",0,IF($B241&lt;'信用保険料計算書（上限2000万）'!$K$15,0,IF($B241&gt;'信用保険料計算書（上限2000万）'!$K$16,0,1)))</f>
        <v>0</v>
      </c>
      <c r="K241" s="209">
        <f>IF(J241=1,HLOOKUP(C241,'計算書（第4回）'!$C$123:$U$124,2,TRUE),0)</f>
        <v>0</v>
      </c>
      <c r="L241" s="209">
        <f>IF('信用保険料計算書（上限2000万）'!$M$15="",0,IF($B241&lt;'信用保険料計算書（上限2000万）'!$M$15,0,IF($B241&gt;'信用保険料計算書（上限2000万）'!$M$16,0,1)))</f>
        <v>0</v>
      </c>
      <c r="M241" s="209">
        <f>IF(L241=1,HLOOKUP(C241,'計算書（第5回）'!$C$123:$U$124,2,TRUE),0)</f>
        <v>0</v>
      </c>
      <c r="N241" s="209">
        <f>IF('信用保険料計算書（上限2000万）'!$O$15="",0,IF($B241&lt;'信用保険料計算書（上限2000万）'!$O$15,0,IF($B241&gt;'信用保険料計算書（上限2000万）'!$O$16,0,1)))</f>
        <v>0</v>
      </c>
      <c r="O241" s="209">
        <f>IF(N241=1,HLOOKUP(C241,'計算書（第6回）'!$C$123:$U$124,2,TRUE),0)</f>
        <v>0</v>
      </c>
      <c r="P241" s="209">
        <f>IF('信用保険料計算書（上限2000万）'!$Q$15="",0,IF($B241&lt;'信用保険料計算書（上限2000万）'!$Q$15,0,IF($B241&gt;'信用保険料計算書（上限2000万）'!$Q$16,0,1)))</f>
        <v>0</v>
      </c>
      <c r="Q241" s="209">
        <f>IF(P241=1,HLOOKUP(C241,'計算書（第7回）'!$C$123:$U$124,2,TRUE),0)</f>
        <v>0</v>
      </c>
      <c r="R241" s="213"/>
      <c r="S241" s="211">
        <f>COUNTIF($AB$13:$AB$19,"&lt;=2031/2/1")</f>
        <v>2</v>
      </c>
      <c r="T241" s="178">
        <f t="shared" si="23"/>
        <v>44743</v>
      </c>
      <c r="U241" s="181">
        <f t="shared" si="21"/>
        <v>0</v>
      </c>
      <c r="V241" s="182">
        <f t="shared" si="25"/>
        <v>0</v>
      </c>
      <c r="W241" s="245">
        <f t="shared" si="24"/>
        <v>0</v>
      </c>
      <c r="X241" s="182"/>
    </row>
    <row r="242" spans="2:24">
      <c r="B242" s="214">
        <f t="shared" si="22"/>
        <v>47908</v>
      </c>
      <c r="C242" s="198">
        <f t="shared" si="20"/>
        <v>47880</v>
      </c>
      <c r="D242" s="209">
        <f>IF(B242&lt;'信用保険料計算書（上限2000万）'!$E$15,0,IF(B242&gt;'信用保険料計算書（上限2000万）'!$E$16,0,1))</f>
        <v>0</v>
      </c>
      <c r="E242" s="209">
        <f>IF(D242=1,HLOOKUP(C242,'計算書（第1回）'!$C$123:$U$124,2,TRUE),0)</f>
        <v>0</v>
      </c>
      <c r="F242" s="209">
        <f>IF('信用保険料計算書（上限2000万）'!$G$15="",0,IF($B242&lt;'信用保険料計算書（上限2000万）'!$G$15,0,IF($B242&gt;'信用保険料計算書（上限2000万）'!$G$16,0,1)))</f>
        <v>0</v>
      </c>
      <c r="G242" s="209">
        <f>IF(F242=1,HLOOKUP(C242,'計算書（第2回）'!$C$123:$U$124,2,TRUE),0)</f>
        <v>0</v>
      </c>
      <c r="H242" s="209">
        <f>IF('信用保険料計算書（上限2000万）'!$I$15="",0,IF($B242&lt;'信用保険料計算書（上限2000万）'!$I$15,0,IF($B242&gt;'信用保険料計算書（上限2000万）'!$I$16,0,1)))</f>
        <v>0</v>
      </c>
      <c r="I242" s="209">
        <f>IF(H242=1,HLOOKUP(C242,'計算書（第3回）'!$C$123:$U$124,2,TRUE),0)</f>
        <v>0</v>
      </c>
      <c r="J242" s="209">
        <f>IF('信用保険料計算書（上限2000万）'!$K$15="",0,IF($B242&lt;'信用保険料計算書（上限2000万）'!$K$15,0,IF($B242&gt;'信用保険料計算書（上限2000万）'!$K$16,0,1)))</f>
        <v>0</v>
      </c>
      <c r="K242" s="209">
        <f>IF(J242=1,HLOOKUP(C242,'計算書（第4回）'!$C$123:$U$124,2,TRUE),0)</f>
        <v>0</v>
      </c>
      <c r="L242" s="209">
        <f>IF('信用保険料計算書（上限2000万）'!$M$15="",0,IF($B242&lt;'信用保険料計算書（上限2000万）'!$M$15,0,IF($B242&gt;'信用保険料計算書（上限2000万）'!$M$16,0,1)))</f>
        <v>0</v>
      </c>
      <c r="M242" s="209">
        <f>IF(L242=1,HLOOKUP(C242,'計算書（第5回）'!$C$123:$U$124,2,TRUE),0)</f>
        <v>0</v>
      </c>
      <c r="N242" s="209">
        <f>IF('信用保険料計算書（上限2000万）'!$O$15="",0,IF($B242&lt;'信用保険料計算書（上限2000万）'!$O$15,0,IF($B242&gt;'信用保険料計算書（上限2000万）'!$O$16,0,1)))</f>
        <v>0</v>
      </c>
      <c r="O242" s="209">
        <f>IF(N242=1,HLOOKUP(C242,'計算書（第6回）'!$C$123:$U$124,2,TRUE),0)</f>
        <v>0</v>
      </c>
      <c r="P242" s="209">
        <f>IF('信用保険料計算書（上限2000万）'!$Q$15="",0,IF($B242&lt;'信用保険料計算書（上限2000万）'!$Q$15,0,IF($B242&gt;'信用保険料計算書（上限2000万）'!$Q$16,0,1)))</f>
        <v>0</v>
      </c>
      <c r="Q242" s="209">
        <f>IF(P242=1,HLOOKUP(C242,'計算書（第7回）'!$C$123:$U$124,2,TRUE),0)</f>
        <v>0</v>
      </c>
      <c r="R242" s="213"/>
      <c r="S242" s="211">
        <f>COUNTIF($AB$13:$AB$19,"&lt;=2031/3/1")</f>
        <v>2</v>
      </c>
      <c r="T242" s="178">
        <f t="shared" si="23"/>
        <v>44743</v>
      </c>
      <c r="U242" s="181">
        <f t="shared" si="21"/>
        <v>0</v>
      </c>
      <c r="V242" s="182">
        <f t="shared" si="25"/>
        <v>0</v>
      </c>
      <c r="W242" s="245">
        <f t="shared" si="24"/>
        <v>0</v>
      </c>
      <c r="X242" s="183">
        <f>INT(SUM(W237:W242))</f>
        <v>0</v>
      </c>
    </row>
    <row r="243" spans="2:24">
      <c r="B243" s="214">
        <f t="shared" si="22"/>
        <v>47939</v>
      </c>
      <c r="C243" s="198">
        <f t="shared" si="20"/>
        <v>47908</v>
      </c>
      <c r="D243" s="209">
        <f>IF(B243&lt;'信用保険料計算書（上限2000万）'!$E$15,0,IF(B243&gt;'信用保険料計算書（上限2000万）'!$E$16,0,1))</f>
        <v>0</v>
      </c>
      <c r="E243" s="209">
        <f>IF(D243=1,HLOOKUP(C243,'計算書（第1回）'!$C$123:$U$124,2,TRUE),0)</f>
        <v>0</v>
      </c>
      <c r="F243" s="209">
        <f>IF('信用保険料計算書（上限2000万）'!$G$15="",0,IF($B243&lt;'信用保険料計算書（上限2000万）'!$G$15,0,IF($B243&gt;'信用保険料計算書（上限2000万）'!$G$16,0,1)))</f>
        <v>0</v>
      </c>
      <c r="G243" s="209">
        <f>IF(F243=1,HLOOKUP(C243,'計算書（第2回）'!$C$123:$U$124,2,TRUE),0)</f>
        <v>0</v>
      </c>
      <c r="H243" s="209">
        <f>IF('信用保険料計算書（上限2000万）'!$I$15="",0,IF($B243&lt;'信用保険料計算書（上限2000万）'!$I$15,0,IF($B243&gt;'信用保険料計算書（上限2000万）'!$I$16,0,1)))</f>
        <v>0</v>
      </c>
      <c r="I243" s="209">
        <f>IF(H243=1,HLOOKUP(C243,'計算書（第3回）'!$C$123:$U$124,2,TRUE),0)</f>
        <v>0</v>
      </c>
      <c r="J243" s="209">
        <f>IF('信用保険料計算書（上限2000万）'!$K$15="",0,IF($B243&lt;'信用保険料計算書（上限2000万）'!$K$15,0,IF($B243&gt;'信用保険料計算書（上限2000万）'!$K$16,0,1)))</f>
        <v>0</v>
      </c>
      <c r="K243" s="209">
        <f>IF(J243=1,HLOOKUP(C243,'計算書（第4回）'!$C$123:$U$124,2,TRUE),0)</f>
        <v>0</v>
      </c>
      <c r="L243" s="209">
        <f>IF('信用保険料計算書（上限2000万）'!$M$15="",0,IF($B243&lt;'信用保険料計算書（上限2000万）'!$M$15,0,IF($B243&gt;'信用保険料計算書（上限2000万）'!$M$16,0,1)))</f>
        <v>0</v>
      </c>
      <c r="M243" s="209">
        <f>IF(L243=1,HLOOKUP(C243,'計算書（第5回）'!$C$123:$U$124,2,TRUE),0)</f>
        <v>0</v>
      </c>
      <c r="N243" s="209">
        <f>IF('信用保険料計算書（上限2000万）'!$O$15="",0,IF($B243&lt;'信用保険料計算書（上限2000万）'!$O$15,0,IF($B243&gt;'信用保険料計算書（上限2000万）'!$O$16,0,1)))</f>
        <v>0</v>
      </c>
      <c r="O243" s="209">
        <f>IF(N243=1,HLOOKUP(C243,'計算書（第6回）'!$C$123:$U$124,2,TRUE),0)</f>
        <v>0</v>
      </c>
      <c r="P243" s="209">
        <f>IF('信用保険料計算書（上限2000万）'!$Q$15="",0,IF($B243&lt;'信用保険料計算書（上限2000万）'!$Q$15,0,IF($B243&gt;'信用保険料計算書（上限2000万）'!$Q$16,0,1)))</f>
        <v>0</v>
      </c>
      <c r="Q243" s="209">
        <f>IF(P243=1,HLOOKUP(C243,'計算書（第7回）'!$C$123:$U$124,2,TRUE),0)</f>
        <v>0</v>
      </c>
      <c r="R243" s="213"/>
      <c r="S243" s="211">
        <f>COUNTIF($AB$13:$AB$19,"&lt;=2031/4/1")</f>
        <v>2</v>
      </c>
      <c r="T243" s="178">
        <f t="shared" si="23"/>
        <v>44743</v>
      </c>
      <c r="U243" s="181">
        <f t="shared" si="21"/>
        <v>0</v>
      </c>
      <c r="V243" s="182">
        <f t="shared" si="25"/>
        <v>0</v>
      </c>
      <c r="W243" s="245">
        <f t="shared" si="24"/>
        <v>0</v>
      </c>
      <c r="X243" s="182"/>
    </row>
    <row r="244" spans="2:24">
      <c r="B244" s="214">
        <f t="shared" si="22"/>
        <v>47969</v>
      </c>
      <c r="C244" s="198">
        <f t="shared" si="20"/>
        <v>47939</v>
      </c>
      <c r="D244" s="209">
        <f>IF(B244&lt;'信用保険料計算書（上限2000万）'!$E$15,0,IF(B244&gt;'信用保険料計算書（上限2000万）'!$E$16,0,1))</f>
        <v>0</v>
      </c>
      <c r="E244" s="209">
        <f>IF(D244=1,HLOOKUP(C244,'計算書（第1回）'!$C$123:$U$124,2,TRUE),0)</f>
        <v>0</v>
      </c>
      <c r="F244" s="209">
        <f>IF('信用保険料計算書（上限2000万）'!$G$15="",0,IF($B244&lt;'信用保険料計算書（上限2000万）'!$G$15,0,IF($B244&gt;'信用保険料計算書（上限2000万）'!$G$16,0,1)))</f>
        <v>0</v>
      </c>
      <c r="G244" s="209">
        <f>IF(F244=1,HLOOKUP(C244,'計算書（第2回）'!$C$123:$U$124,2,TRUE),0)</f>
        <v>0</v>
      </c>
      <c r="H244" s="209">
        <f>IF('信用保険料計算書（上限2000万）'!$I$15="",0,IF($B244&lt;'信用保険料計算書（上限2000万）'!$I$15,0,IF($B244&gt;'信用保険料計算書（上限2000万）'!$I$16,0,1)))</f>
        <v>0</v>
      </c>
      <c r="I244" s="209">
        <f>IF(H244=1,HLOOKUP(C244,'計算書（第3回）'!$C$123:$U$124,2,TRUE),0)</f>
        <v>0</v>
      </c>
      <c r="J244" s="209">
        <f>IF('信用保険料計算書（上限2000万）'!$K$15="",0,IF($B244&lt;'信用保険料計算書（上限2000万）'!$K$15,0,IF($B244&gt;'信用保険料計算書（上限2000万）'!$K$16,0,1)))</f>
        <v>0</v>
      </c>
      <c r="K244" s="209">
        <f>IF(J244=1,HLOOKUP(C244,'計算書（第4回）'!$C$123:$U$124,2,TRUE),0)</f>
        <v>0</v>
      </c>
      <c r="L244" s="209">
        <f>IF('信用保険料計算書（上限2000万）'!$M$15="",0,IF($B244&lt;'信用保険料計算書（上限2000万）'!$M$15,0,IF($B244&gt;'信用保険料計算書（上限2000万）'!$M$16,0,1)))</f>
        <v>0</v>
      </c>
      <c r="M244" s="209">
        <f>IF(L244=1,HLOOKUP(C244,'計算書（第5回）'!$C$123:$U$124,2,TRUE),0)</f>
        <v>0</v>
      </c>
      <c r="N244" s="209">
        <f>IF('信用保険料計算書（上限2000万）'!$O$15="",0,IF($B244&lt;'信用保険料計算書（上限2000万）'!$O$15,0,IF($B244&gt;'信用保険料計算書（上限2000万）'!$O$16,0,1)))</f>
        <v>0</v>
      </c>
      <c r="O244" s="209">
        <f>IF(N244=1,HLOOKUP(C244,'計算書（第6回）'!$C$123:$U$124,2,TRUE),0)</f>
        <v>0</v>
      </c>
      <c r="P244" s="209">
        <f>IF('信用保険料計算書（上限2000万）'!$Q$15="",0,IF($B244&lt;'信用保険料計算書（上限2000万）'!$Q$15,0,IF($B244&gt;'信用保険料計算書（上限2000万）'!$Q$16,0,1)))</f>
        <v>0</v>
      </c>
      <c r="Q244" s="209">
        <f>IF(P244=1,HLOOKUP(C244,'計算書（第7回）'!$C$123:$U$124,2,TRUE),0)</f>
        <v>0</v>
      </c>
      <c r="R244" s="213"/>
      <c r="S244" s="211">
        <f>COUNTIF($AB$13:$AB$19,"&lt;=2031/5/1")</f>
        <v>2</v>
      </c>
      <c r="T244" s="178">
        <f t="shared" si="23"/>
        <v>44743</v>
      </c>
      <c r="U244" s="181">
        <f t="shared" si="21"/>
        <v>0</v>
      </c>
      <c r="V244" s="182">
        <f t="shared" si="25"/>
        <v>0</v>
      </c>
      <c r="W244" s="245">
        <f t="shared" si="24"/>
        <v>0</v>
      </c>
      <c r="X244" s="182"/>
    </row>
    <row r="245" spans="2:24">
      <c r="B245" s="214">
        <f t="shared" si="22"/>
        <v>48000</v>
      </c>
      <c r="C245" s="198">
        <f t="shared" si="20"/>
        <v>47969</v>
      </c>
      <c r="D245" s="209">
        <f>IF(B245&lt;'信用保険料計算書（上限2000万）'!$E$15,0,IF(B245&gt;'信用保険料計算書（上限2000万）'!$E$16,0,1))</f>
        <v>0</v>
      </c>
      <c r="E245" s="209">
        <f>IF(D245=1,HLOOKUP(C245,'計算書（第1回）'!$C$123:$U$124,2,TRUE),0)</f>
        <v>0</v>
      </c>
      <c r="F245" s="209">
        <f>IF('信用保険料計算書（上限2000万）'!$G$15="",0,IF($B245&lt;'信用保険料計算書（上限2000万）'!$G$15,0,IF($B245&gt;'信用保険料計算書（上限2000万）'!$G$16,0,1)))</f>
        <v>0</v>
      </c>
      <c r="G245" s="209">
        <f>IF(F245=1,HLOOKUP(C245,'計算書（第2回）'!$C$123:$U$124,2,TRUE),0)</f>
        <v>0</v>
      </c>
      <c r="H245" s="209">
        <f>IF('信用保険料計算書（上限2000万）'!$I$15="",0,IF($B245&lt;'信用保険料計算書（上限2000万）'!$I$15,0,IF($B245&gt;'信用保険料計算書（上限2000万）'!$I$16,0,1)))</f>
        <v>0</v>
      </c>
      <c r="I245" s="209">
        <f>IF(H245=1,HLOOKUP(C245,'計算書（第3回）'!$C$123:$U$124,2,TRUE),0)</f>
        <v>0</v>
      </c>
      <c r="J245" s="209">
        <f>IF('信用保険料計算書（上限2000万）'!$K$15="",0,IF($B245&lt;'信用保険料計算書（上限2000万）'!$K$15,0,IF($B245&gt;'信用保険料計算書（上限2000万）'!$K$16,0,1)))</f>
        <v>0</v>
      </c>
      <c r="K245" s="209">
        <f>IF(J245=1,HLOOKUP(C245,'計算書（第4回）'!$C$123:$U$124,2,TRUE),0)</f>
        <v>0</v>
      </c>
      <c r="L245" s="209">
        <f>IF('信用保険料計算書（上限2000万）'!$M$15="",0,IF($B245&lt;'信用保険料計算書（上限2000万）'!$M$15,0,IF($B245&gt;'信用保険料計算書（上限2000万）'!$M$16,0,1)))</f>
        <v>0</v>
      </c>
      <c r="M245" s="209">
        <f>IF(L245=1,HLOOKUP(C245,'計算書（第5回）'!$C$123:$U$124,2,TRUE),0)</f>
        <v>0</v>
      </c>
      <c r="N245" s="209">
        <f>IF('信用保険料計算書（上限2000万）'!$O$15="",0,IF($B245&lt;'信用保険料計算書（上限2000万）'!$O$15,0,IF($B245&gt;'信用保険料計算書（上限2000万）'!$O$16,0,1)))</f>
        <v>0</v>
      </c>
      <c r="O245" s="209">
        <f>IF(N245=1,HLOOKUP(C245,'計算書（第6回）'!$C$123:$U$124,2,TRUE),0)</f>
        <v>0</v>
      </c>
      <c r="P245" s="209">
        <f>IF('信用保険料計算書（上限2000万）'!$Q$15="",0,IF($B245&lt;'信用保険料計算書（上限2000万）'!$Q$15,0,IF($B245&gt;'信用保険料計算書（上限2000万）'!$Q$16,0,1)))</f>
        <v>0</v>
      </c>
      <c r="Q245" s="209">
        <f>IF(P245=1,HLOOKUP(C245,'計算書（第7回）'!$C$123:$U$124,2,TRUE),0)</f>
        <v>0</v>
      </c>
      <c r="R245" s="213"/>
      <c r="S245" s="211">
        <f>COUNTIF($AB$13:$AB$19,"&lt;=2031/6/1")</f>
        <v>2</v>
      </c>
      <c r="T245" s="178">
        <f t="shared" si="23"/>
        <v>44743</v>
      </c>
      <c r="U245" s="181">
        <f t="shared" si="21"/>
        <v>0</v>
      </c>
      <c r="V245" s="182">
        <f t="shared" si="25"/>
        <v>0</v>
      </c>
      <c r="W245" s="245">
        <f t="shared" si="24"/>
        <v>0</v>
      </c>
      <c r="X245" s="182"/>
    </row>
    <row r="246" spans="2:24">
      <c r="B246" s="214">
        <f t="shared" si="22"/>
        <v>48030</v>
      </c>
      <c r="C246" s="198">
        <f t="shared" si="20"/>
        <v>48000</v>
      </c>
      <c r="D246" s="209">
        <f>IF(B246&lt;'信用保険料計算書（上限2000万）'!$E$15,0,IF(B246&gt;'信用保険料計算書（上限2000万）'!$E$16,0,1))</f>
        <v>0</v>
      </c>
      <c r="E246" s="209">
        <f>IF(D246=1,HLOOKUP(C246,'計算書（第1回）'!$C$123:$U$124,2,TRUE),0)</f>
        <v>0</v>
      </c>
      <c r="F246" s="209">
        <f>IF('信用保険料計算書（上限2000万）'!$G$15="",0,IF($B246&lt;'信用保険料計算書（上限2000万）'!$G$15,0,IF($B246&gt;'信用保険料計算書（上限2000万）'!$G$16,0,1)))</f>
        <v>0</v>
      </c>
      <c r="G246" s="209">
        <f>IF(F246=1,HLOOKUP(C246,'計算書（第2回）'!$C$123:$U$124,2,TRUE),0)</f>
        <v>0</v>
      </c>
      <c r="H246" s="209">
        <f>IF('信用保険料計算書（上限2000万）'!$I$15="",0,IF($B246&lt;'信用保険料計算書（上限2000万）'!$I$15,0,IF($B246&gt;'信用保険料計算書（上限2000万）'!$I$16,0,1)))</f>
        <v>0</v>
      </c>
      <c r="I246" s="209">
        <f>IF(H246=1,HLOOKUP(C246,'計算書（第3回）'!$C$123:$U$124,2,TRUE),0)</f>
        <v>0</v>
      </c>
      <c r="J246" s="209">
        <f>IF('信用保険料計算書（上限2000万）'!$K$15="",0,IF($B246&lt;'信用保険料計算書（上限2000万）'!$K$15,0,IF($B246&gt;'信用保険料計算書（上限2000万）'!$K$16,0,1)))</f>
        <v>0</v>
      </c>
      <c r="K246" s="209">
        <f>IF(J246=1,HLOOKUP(C246,'計算書（第4回）'!$C$123:$U$124,2,TRUE),0)</f>
        <v>0</v>
      </c>
      <c r="L246" s="209">
        <f>IF('信用保険料計算書（上限2000万）'!$M$15="",0,IF($B246&lt;'信用保険料計算書（上限2000万）'!$M$15,0,IF($B246&gt;'信用保険料計算書（上限2000万）'!$M$16,0,1)))</f>
        <v>0</v>
      </c>
      <c r="M246" s="209">
        <f>IF(L246=1,HLOOKUP(C246,'計算書（第5回）'!$C$123:$U$124,2,TRUE),0)</f>
        <v>0</v>
      </c>
      <c r="N246" s="209">
        <f>IF('信用保険料計算書（上限2000万）'!$O$15="",0,IF($B246&lt;'信用保険料計算書（上限2000万）'!$O$15,0,IF($B246&gt;'信用保険料計算書（上限2000万）'!$O$16,0,1)))</f>
        <v>0</v>
      </c>
      <c r="O246" s="209">
        <f>IF(N246=1,HLOOKUP(C246,'計算書（第6回）'!$C$123:$U$124,2,TRUE),0)</f>
        <v>0</v>
      </c>
      <c r="P246" s="209">
        <f>IF('信用保険料計算書（上限2000万）'!$Q$15="",0,IF($B246&lt;'信用保険料計算書（上限2000万）'!$Q$15,0,IF($B246&gt;'信用保険料計算書（上限2000万）'!$Q$16,0,1)))</f>
        <v>0</v>
      </c>
      <c r="Q246" s="209">
        <f>IF(P246=1,HLOOKUP(C246,'計算書（第7回）'!$C$123:$U$124,2,TRUE),0)</f>
        <v>0</v>
      </c>
      <c r="R246" s="213"/>
      <c r="S246" s="211">
        <f>COUNTIF($AB$13:$AB$19,"&lt;=2031/7/1")</f>
        <v>2</v>
      </c>
      <c r="T246" s="178">
        <f t="shared" si="23"/>
        <v>44743</v>
      </c>
      <c r="U246" s="181">
        <f t="shared" si="21"/>
        <v>0</v>
      </c>
      <c r="V246" s="182">
        <f t="shared" si="25"/>
        <v>0</v>
      </c>
      <c r="W246" s="245">
        <f t="shared" si="24"/>
        <v>0</v>
      </c>
      <c r="X246" s="182"/>
    </row>
    <row r="247" spans="2:24">
      <c r="B247" s="214">
        <f t="shared" si="22"/>
        <v>48061</v>
      </c>
      <c r="C247" s="198">
        <f t="shared" si="20"/>
        <v>48030</v>
      </c>
      <c r="D247" s="209">
        <f>IF(B247&lt;'信用保険料計算書（上限2000万）'!$E$15,0,IF(B247&gt;'信用保険料計算書（上限2000万）'!$E$16,0,1))</f>
        <v>0</v>
      </c>
      <c r="E247" s="209">
        <f>IF(D247=1,HLOOKUP(C247,'計算書（第1回）'!$C$123:$U$124,2,TRUE),0)</f>
        <v>0</v>
      </c>
      <c r="F247" s="209">
        <f>IF('信用保険料計算書（上限2000万）'!$G$15="",0,IF($B247&lt;'信用保険料計算書（上限2000万）'!$G$15,0,IF($B247&gt;'信用保険料計算書（上限2000万）'!$G$16,0,1)))</f>
        <v>0</v>
      </c>
      <c r="G247" s="209">
        <f>IF(F247=1,HLOOKUP(C247,'計算書（第2回）'!$C$123:$U$124,2,TRUE),0)</f>
        <v>0</v>
      </c>
      <c r="H247" s="209">
        <f>IF('信用保険料計算書（上限2000万）'!$I$15="",0,IF($B247&lt;'信用保険料計算書（上限2000万）'!$I$15,0,IF($B247&gt;'信用保険料計算書（上限2000万）'!$I$16,0,1)))</f>
        <v>0</v>
      </c>
      <c r="I247" s="209">
        <f>IF(H247=1,HLOOKUP(C247,'計算書（第3回）'!$C$123:$U$124,2,TRUE),0)</f>
        <v>0</v>
      </c>
      <c r="J247" s="209">
        <f>IF('信用保険料計算書（上限2000万）'!$K$15="",0,IF($B247&lt;'信用保険料計算書（上限2000万）'!$K$15,0,IF($B247&gt;'信用保険料計算書（上限2000万）'!$K$16,0,1)))</f>
        <v>0</v>
      </c>
      <c r="K247" s="209">
        <f>IF(J247=1,HLOOKUP(C247,'計算書（第4回）'!$C$123:$U$124,2,TRUE),0)</f>
        <v>0</v>
      </c>
      <c r="L247" s="209">
        <f>IF('信用保険料計算書（上限2000万）'!$M$15="",0,IF($B247&lt;'信用保険料計算書（上限2000万）'!$M$15,0,IF($B247&gt;'信用保険料計算書（上限2000万）'!$M$16,0,1)))</f>
        <v>0</v>
      </c>
      <c r="M247" s="209">
        <f>IF(L247=1,HLOOKUP(C247,'計算書（第5回）'!$C$123:$U$124,2,TRUE),0)</f>
        <v>0</v>
      </c>
      <c r="N247" s="209">
        <f>IF('信用保険料計算書（上限2000万）'!$O$15="",0,IF($B247&lt;'信用保険料計算書（上限2000万）'!$O$15,0,IF($B247&gt;'信用保険料計算書（上限2000万）'!$O$16,0,1)))</f>
        <v>0</v>
      </c>
      <c r="O247" s="209">
        <f>IF(N247=1,HLOOKUP(C247,'計算書（第6回）'!$C$123:$U$124,2,TRUE),0)</f>
        <v>0</v>
      </c>
      <c r="P247" s="209">
        <f>IF('信用保険料計算書（上限2000万）'!$Q$15="",0,IF($B247&lt;'信用保険料計算書（上限2000万）'!$Q$15,0,IF($B247&gt;'信用保険料計算書（上限2000万）'!$Q$16,0,1)))</f>
        <v>0</v>
      </c>
      <c r="Q247" s="209">
        <f>IF(P247=1,HLOOKUP(C247,'計算書（第7回）'!$C$123:$U$124,2,TRUE),0)</f>
        <v>0</v>
      </c>
      <c r="R247" s="213"/>
      <c r="S247" s="211">
        <f>COUNTIF($AB$13:$AB$19,"&lt;=2031/8/1")</f>
        <v>2</v>
      </c>
      <c r="T247" s="178">
        <f t="shared" si="23"/>
        <v>44743</v>
      </c>
      <c r="U247" s="181">
        <f t="shared" si="21"/>
        <v>0</v>
      </c>
      <c r="V247" s="182">
        <f t="shared" si="25"/>
        <v>0</v>
      </c>
      <c r="W247" s="245">
        <f t="shared" si="24"/>
        <v>0</v>
      </c>
      <c r="X247" s="182"/>
    </row>
    <row r="248" spans="2:24">
      <c r="B248" s="214">
        <f t="shared" si="22"/>
        <v>48092</v>
      </c>
      <c r="C248" s="198">
        <f t="shared" si="20"/>
        <v>48061</v>
      </c>
      <c r="D248" s="209">
        <f>IF(B248&lt;'信用保険料計算書（上限2000万）'!$E$15,0,IF(B248&gt;'信用保険料計算書（上限2000万）'!$E$16,0,1))</f>
        <v>0</v>
      </c>
      <c r="E248" s="209">
        <f>IF(D248=1,HLOOKUP(C248,'計算書（第1回）'!$C$123:$U$124,2,TRUE),0)</f>
        <v>0</v>
      </c>
      <c r="F248" s="209">
        <f>IF('信用保険料計算書（上限2000万）'!$G$15="",0,IF($B248&lt;'信用保険料計算書（上限2000万）'!$G$15,0,IF($B248&gt;'信用保険料計算書（上限2000万）'!$G$16,0,1)))</f>
        <v>0</v>
      </c>
      <c r="G248" s="209">
        <f>IF(F248=1,HLOOKUP(C248,'計算書（第2回）'!$C$123:$U$124,2,TRUE),0)</f>
        <v>0</v>
      </c>
      <c r="H248" s="209">
        <f>IF('信用保険料計算書（上限2000万）'!$I$15="",0,IF($B248&lt;'信用保険料計算書（上限2000万）'!$I$15,0,IF($B248&gt;'信用保険料計算書（上限2000万）'!$I$16,0,1)))</f>
        <v>0</v>
      </c>
      <c r="I248" s="209">
        <f>IF(H248=1,HLOOKUP(C248,'計算書（第3回）'!$C$123:$U$124,2,TRUE),0)</f>
        <v>0</v>
      </c>
      <c r="J248" s="209">
        <f>IF('信用保険料計算書（上限2000万）'!$K$15="",0,IF($B248&lt;'信用保険料計算書（上限2000万）'!$K$15,0,IF($B248&gt;'信用保険料計算書（上限2000万）'!$K$16,0,1)))</f>
        <v>0</v>
      </c>
      <c r="K248" s="209">
        <f>IF(J248=1,HLOOKUP(C248,'計算書（第4回）'!$C$123:$U$124,2,TRUE),0)</f>
        <v>0</v>
      </c>
      <c r="L248" s="209">
        <f>IF('信用保険料計算書（上限2000万）'!$M$15="",0,IF($B248&lt;'信用保険料計算書（上限2000万）'!$M$15,0,IF($B248&gt;'信用保険料計算書（上限2000万）'!$M$16,0,1)))</f>
        <v>0</v>
      </c>
      <c r="M248" s="209">
        <f>IF(L248=1,HLOOKUP(C248,'計算書（第5回）'!$C$123:$U$124,2,TRUE),0)</f>
        <v>0</v>
      </c>
      <c r="N248" s="209">
        <f>IF('信用保険料計算書（上限2000万）'!$O$15="",0,IF($B248&lt;'信用保険料計算書（上限2000万）'!$O$15,0,IF($B248&gt;'信用保険料計算書（上限2000万）'!$O$16,0,1)))</f>
        <v>0</v>
      </c>
      <c r="O248" s="209">
        <f>IF(N248=1,HLOOKUP(C248,'計算書（第6回）'!$C$123:$U$124,2,TRUE),0)</f>
        <v>0</v>
      </c>
      <c r="P248" s="209">
        <f>IF('信用保険料計算書（上限2000万）'!$Q$15="",0,IF($B248&lt;'信用保険料計算書（上限2000万）'!$Q$15,0,IF($B248&gt;'信用保険料計算書（上限2000万）'!$Q$16,0,1)))</f>
        <v>0</v>
      </c>
      <c r="Q248" s="209">
        <f>IF(P248=1,HLOOKUP(C248,'計算書（第7回）'!$C$123:$U$124,2,TRUE),0)</f>
        <v>0</v>
      </c>
      <c r="R248" s="213"/>
      <c r="S248" s="211">
        <f>COUNTIF($AB$13:$AB$19,"&lt;=2031/9/1")</f>
        <v>2</v>
      </c>
      <c r="T248" s="178">
        <f t="shared" si="23"/>
        <v>44743</v>
      </c>
      <c r="U248" s="181">
        <f t="shared" si="21"/>
        <v>0</v>
      </c>
      <c r="V248" s="182">
        <f t="shared" si="25"/>
        <v>0</v>
      </c>
      <c r="W248" s="245">
        <f t="shared" si="24"/>
        <v>0</v>
      </c>
      <c r="X248" s="183">
        <f>INT(SUM(W243:W248))</f>
        <v>0</v>
      </c>
    </row>
    <row r="249" spans="2:24">
      <c r="B249" s="214">
        <f t="shared" si="22"/>
        <v>48122</v>
      </c>
      <c r="C249" s="198">
        <f t="shared" si="20"/>
        <v>48092</v>
      </c>
      <c r="D249" s="209">
        <f>IF(B249&lt;'信用保険料計算書（上限2000万）'!$E$15,0,IF(B249&gt;'信用保険料計算書（上限2000万）'!$E$16,0,1))</f>
        <v>0</v>
      </c>
      <c r="E249" s="209">
        <f>IF(D249=1,HLOOKUP(C249,'計算書（第1回）'!$C$123:$U$124,2,TRUE),0)</f>
        <v>0</v>
      </c>
      <c r="F249" s="209">
        <f>IF('信用保険料計算書（上限2000万）'!$G$15="",0,IF($B249&lt;'信用保険料計算書（上限2000万）'!$G$15,0,IF($B249&gt;'信用保険料計算書（上限2000万）'!$G$16,0,1)))</f>
        <v>0</v>
      </c>
      <c r="G249" s="209">
        <f>IF(F249=1,HLOOKUP(C249,'計算書（第2回）'!$C$123:$U$124,2,TRUE),0)</f>
        <v>0</v>
      </c>
      <c r="H249" s="209">
        <f>IF('信用保険料計算書（上限2000万）'!$I$15="",0,IF($B249&lt;'信用保険料計算書（上限2000万）'!$I$15,0,IF($B249&gt;'信用保険料計算書（上限2000万）'!$I$16,0,1)))</f>
        <v>0</v>
      </c>
      <c r="I249" s="209">
        <f>IF(H249=1,HLOOKUP(C249,'計算書（第3回）'!$C$123:$U$124,2,TRUE),0)</f>
        <v>0</v>
      </c>
      <c r="J249" s="209">
        <f>IF('信用保険料計算書（上限2000万）'!$K$15="",0,IF($B249&lt;'信用保険料計算書（上限2000万）'!$K$15,0,IF($B249&gt;'信用保険料計算書（上限2000万）'!$K$16,0,1)))</f>
        <v>0</v>
      </c>
      <c r="K249" s="209">
        <f>IF(J249=1,HLOOKUP(C249,'計算書（第4回）'!$C$123:$U$124,2,TRUE),0)</f>
        <v>0</v>
      </c>
      <c r="L249" s="209">
        <f>IF('信用保険料計算書（上限2000万）'!$M$15="",0,IF($B249&lt;'信用保険料計算書（上限2000万）'!$M$15,0,IF($B249&gt;'信用保険料計算書（上限2000万）'!$M$16,0,1)))</f>
        <v>0</v>
      </c>
      <c r="M249" s="209">
        <f>IF(L249=1,HLOOKUP(C249,'計算書（第5回）'!$C$123:$U$124,2,TRUE),0)</f>
        <v>0</v>
      </c>
      <c r="N249" s="209">
        <f>IF('信用保険料計算書（上限2000万）'!$O$15="",0,IF($B249&lt;'信用保険料計算書（上限2000万）'!$O$15,0,IF($B249&gt;'信用保険料計算書（上限2000万）'!$O$16,0,1)))</f>
        <v>0</v>
      </c>
      <c r="O249" s="209">
        <f>IF(N249=1,HLOOKUP(C249,'計算書（第6回）'!$C$123:$U$124,2,TRUE),0)</f>
        <v>0</v>
      </c>
      <c r="P249" s="209">
        <f>IF('信用保険料計算書（上限2000万）'!$Q$15="",0,IF($B249&lt;'信用保険料計算書（上限2000万）'!$Q$15,0,IF($B249&gt;'信用保険料計算書（上限2000万）'!$Q$16,0,1)))</f>
        <v>0</v>
      </c>
      <c r="Q249" s="209">
        <f>IF(P249=1,HLOOKUP(C249,'計算書（第7回）'!$C$123:$U$124,2,TRUE),0)</f>
        <v>0</v>
      </c>
      <c r="R249" s="213"/>
      <c r="S249" s="211">
        <f>COUNTIF($AB$13:$AB$19,"&lt;=2031/10/1")</f>
        <v>2</v>
      </c>
      <c r="T249" s="178">
        <f t="shared" si="23"/>
        <v>44743</v>
      </c>
      <c r="U249" s="181">
        <f t="shared" si="21"/>
        <v>0</v>
      </c>
      <c r="V249" s="182">
        <f t="shared" si="25"/>
        <v>0</v>
      </c>
      <c r="W249" s="245">
        <f t="shared" si="24"/>
        <v>0</v>
      </c>
      <c r="X249" s="182"/>
    </row>
    <row r="250" spans="2:24">
      <c r="B250" s="214">
        <f t="shared" si="22"/>
        <v>48153</v>
      </c>
      <c r="C250" s="198">
        <f t="shared" si="20"/>
        <v>48122</v>
      </c>
      <c r="D250" s="209">
        <f>IF(B250&lt;'信用保険料計算書（上限2000万）'!$E$15,0,IF(B250&gt;'信用保険料計算書（上限2000万）'!$E$16,0,1))</f>
        <v>0</v>
      </c>
      <c r="E250" s="209">
        <f>IF(D250=1,HLOOKUP(C250,'計算書（第1回）'!$C$123:$U$124,2,TRUE),0)</f>
        <v>0</v>
      </c>
      <c r="F250" s="209">
        <f>IF('信用保険料計算書（上限2000万）'!$G$15="",0,IF($B250&lt;'信用保険料計算書（上限2000万）'!$G$15,0,IF($B250&gt;'信用保険料計算書（上限2000万）'!$G$16,0,1)))</f>
        <v>0</v>
      </c>
      <c r="G250" s="209">
        <f>IF(F250=1,HLOOKUP(C250,'計算書（第2回）'!$C$123:$U$124,2,TRUE),0)</f>
        <v>0</v>
      </c>
      <c r="H250" s="209">
        <f>IF('信用保険料計算書（上限2000万）'!$I$15="",0,IF($B250&lt;'信用保険料計算書（上限2000万）'!$I$15,0,IF($B250&gt;'信用保険料計算書（上限2000万）'!$I$16,0,1)))</f>
        <v>0</v>
      </c>
      <c r="I250" s="209">
        <f>IF(H250=1,HLOOKUP(C250,'計算書（第3回）'!$C$123:$U$124,2,TRUE),0)</f>
        <v>0</v>
      </c>
      <c r="J250" s="209">
        <f>IF('信用保険料計算書（上限2000万）'!$K$15="",0,IF($B250&lt;'信用保険料計算書（上限2000万）'!$K$15,0,IF($B250&gt;'信用保険料計算書（上限2000万）'!$K$16,0,1)))</f>
        <v>0</v>
      </c>
      <c r="K250" s="209">
        <f>IF(J250=1,HLOOKUP(C250,'計算書（第4回）'!$C$123:$U$124,2,TRUE),0)</f>
        <v>0</v>
      </c>
      <c r="L250" s="209">
        <f>IF('信用保険料計算書（上限2000万）'!$M$15="",0,IF($B250&lt;'信用保険料計算書（上限2000万）'!$M$15,0,IF($B250&gt;'信用保険料計算書（上限2000万）'!$M$16,0,1)))</f>
        <v>0</v>
      </c>
      <c r="M250" s="209">
        <f>IF(L250=1,HLOOKUP(C250,'計算書（第5回）'!$C$123:$U$124,2,TRUE),0)</f>
        <v>0</v>
      </c>
      <c r="N250" s="209">
        <f>IF('信用保険料計算書（上限2000万）'!$O$15="",0,IF($B250&lt;'信用保険料計算書（上限2000万）'!$O$15,0,IF($B250&gt;'信用保険料計算書（上限2000万）'!$O$16,0,1)))</f>
        <v>0</v>
      </c>
      <c r="O250" s="209">
        <f>IF(N250=1,HLOOKUP(C250,'計算書（第6回）'!$C$123:$U$124,2,TRUE),0)</f>
        <v>0</v>
      </c>
      <c r="P250" s="209">
        <f>IF('信用保険料計算書（上限2000万）'!$Q$15="",0,IF($B250&lt;'信用保険料計算書（上限2000万）'!$Q$15,0,IF($B250&gt;'信用保険料計算書（上限2000万）'!$Q$16,0,1)))</f>
        <v>0</v>
      </c>
      <c r="Q250" s="209">
        <f>IF(P250=1,HLOOKUP(C250,'計算書（第7回）'!$C$123:$U$124,2,TRUE),0)</f>
        <v>0</v>
      </c>
      <c r="R250" s="213"/>
      <c r="S250" s="211">
        <f>COUNTIF($AB$13:$AB$19,"&lt;=2031/11/1")</f>
        <v>2</v>
      </c>
      <c r="T250" s="178">
        <f t="shared" si="23"/>
        <v>44743</v>
      </c>
      <c r="U250" s="181">
        <f t="shared" si="21"/>
        <v>0</v>
      </c>
      <c r="V250" s="182">
        <f t="shared" si="25"/>
        <v>0</v>
      </c>
      <c r="W250" s="245">
        <f t="shared" si="24"/>
        <v>0</v>
      </c>
      <c r="X250" s="182"/>
    </row>
    <row r="251" spans="2:24">
      <c r="B251" s="214">
        <f t="shared" si="22"/>
        <v>48183</v>
      </c>
      <c r="C251" s="198">
        <f t="shared" si="20"/>
        <v>48153</v>
      </c>
      <c r="D251" s="209">
        <f>IF(B251&lt;'信用保険料計算書（上限2000万）'!$E$15,0,IF(B251&gt;'信用保険料計算書（上限2000万）'!$E$16,0,1))</f>
        <v>0</v>
      </c>
      <c r="E251" s="209">
        <f>IF(D251=1,HLOOKUP(C251,'計算書（第1回）'!$C$123:$U$124,2,TRUE),0)</f>
        <v>0</v>
      </c>
      <c r="F251" s="209">
        <f>IF('信用保険料計算書（上限2000万）'!$G$15="",0,IF($B251&lt;'信用保険料計算書（上限2000万）'!$G$15,0,IF($B251&gt;'信用保険料計算書（上限2000万）'!$G$16,0,1)))</f>
        <v>0</v>
      </c>
      <c r="G251" s="209">
        <f>IF(F251=1,HLOOKUP(C251,'計算書（第2回）'!$C$123:$U$124,2,TRUE),0)</f>
        <v>0</v>
      </c>
      <c r="H251" s="209">
        <f>IF('信用保険料計算書（上限2000万）'!$I$15="",0,IF($B251&lt;'信用保険料計算書（上限2000万）'!$I$15,0,IF($B251&gt;'信用保険料計算書（上限2000万）'!$I$16,0,1)))</f>
        <v>0</v>
      </c>
      <c r="I251" s="209">
        <f>IF(H251=1,HLOOKUP(C251,'計算書（第3回）'!$C$123:$U$124,2,TRUE),0)</f>
        <v>0</v>
      </c>
      <c r="J251" s="209">
        <f>IF('信用保険料計算書（上限2000万）'!$K$15="",0,IF($B251&lt;'信用保険料計算書（上限2000万）'!$K$15,0,IF($B251&gt;'信用保険料計算書（上限2000万）'!$K$16,0,1)))</f>
        <v>0</v>
      </c>
      <c r="K251" s="209">
        <f>IF(J251=1,HLOOKUP(C251,'計算書（第4回）'!$C$123:$U$124,2,TRUE),0)</f>
        <v>0</v>
      </c>
      <c r="L251" s="209">
        <f>IF('信用保険料計算書（上限2000万）'!$M$15="",0,IF($B251&lt;'信用保険料計算書（上限2000万）'!$M$15,0,IF($B251&gt;'信用保険料計算書（上限2000万）'!$M$16,0,1)))</f>
        <v>0</v>
      </c>
      <c r="M251" s="209">
        <f>IF(L251=1,HLOOKUP(C251,'計算書（第5回）'!$C$123:$U$124,2,TRUE),0)</f>
        <v>0</v>
      </c>
      <c r="N251" s="209">
        <f>IF('信用保険料計算書（上限2000万）'!$O$15="",0,IF($B251&lt;'信用保険料計算書（上限2000万）'!$O$15,0,IF($B251&gt;'信用保険料計算書（上限2000万）'!$O$16,0,1)))</f>
        <v>0</v>
      </c>
      <c r="O251" s="209">
        <f>IF(N251=1,HLOOKUP(C251,'計算書（第6回）'!$C$123:$U$124,2,TRUE),0)</f>
        <v>0</v>
      </c>
      <c r="P251" s="209">
        <f>IF('信用保険料計算書（上限2000万）'!$Q$15="",0,IF($B251&lt;'信用保険料計算書（上限2000万）'!$Q$15,0,IF($B251&gt;'信用保険料計算書（上限2000万）'!$Q$16,0,1)))</f>
        <v>0</v>
      </c>
      <c r="Q251" s="209">
        <f>IF(P251=1,HLOOKUP(C251,'計算書（第7回）'!$C$123:$U$124,2,TRUE),0)</f>
        <v>0</v>
      </c>
      <c r="R251" s="213"/>
      <c r="S251" s="211">
        <f>COUNTIF($AB$13:$AB$19,"&lt;=2031/12/1")</f>
        <v>2</v>
      </c>
      <c r="T251" s="178">
        <f t="shared" si="23"/>
        <v>44743</v>
      </c>
      <c r="U251" s="181">
        <f t="shared" si="21"/>
        <v>0</v>
      </c>
      <c r="V251" s="182">
        <f t="shared" si="25"/>
        <v>0</v>
      </c>
      <c r="W251" s="245">
        <f t="shared" si="24"/>
        <v>0</v>
      </c>
      <c r="X251" s="182"/>
    </row>
    <row r="252" spans="2:24">
      <c r="B252" s="214">
        <f t="shared" si="22"/>
        <v>48214</v>
      </c>
      <c r="C252" s="198">
        <f t="shared" si="20"/>
        <v>48183</v>
      </c>
      <c r="D252" s="209">
        <f>IF(B252&lt;'信用保険料計算書（上限2000万）'!$E$15,0,IF(B252&gt;'信用保険料計算書（上限2000万）'!$E$16,0,1))</f>
        <v>0</v>
      </c>
      <c r="E252" s="209">
        <f>IF(D252=1,HLOOKUP(C252,'計算書（第1回）'!$C$123:$U$124,2,TRUE),0)</f>
        <v>0</v>
      </c>
      <c r="F252" s="209">
        <f>IF('信用保険料計算書（上限2000万）'!$G$15="",0,IF($B252&lt;'信用保険料計算書（上限2000万）'!$G$15,0,IF($B252&gt;'信用保険料計算書（上限2000万）'!$G$16,0,1)))</f>
        <v>0</v>
      </c>
      <c r="G252" s="209">
        <f>IF(F252=1,HLOOKUP(C252,'計算書（第2回）'!$C$123:$U$124,2,TRUE),0)</f>
        <v>0</v>
      </c>
      <c r="H252" s="209">
        <f>IF('信用保険料計算書（上限2000万）'!$I$15="",0,IF($B252&lt;'信用保険料計算書（上限2000万）'!$I$15,0,IF($B252&gt;'信用保険料計算書（上限2000万）'!$I$16,0,1)))</f>
        <v>0</v>
      </c>
      <c r="I252" s="209">
        <f>IF(H252=1,HLOOKUP(C252,'計算書（第3回）'!$C$123:$U$124,2,TRUE),0)</f>
        <v>0</v>
      </c>
      <c r="J252" s="209">
        <f>IF('信用保険料計算書（上限2000万）'!$K$15="",0,IF($B252&lt;'信用保険料計算書（上限2000万）'!$K$15,0,IF($B252&gt;'信用保険料計算書（上限2000万）'!$K$16,0,1)))</f>
        <v>0</v>
      </c>
      <c r="K252" s="209">
        <f>IF(J252=1,HLOOKUP(C252,'計算書（第4回）'!$C$123:$U$124,2,TRUE),0)</f>
        <v>0</v>
      </c>
      <c r="L252" s="209">
        <f>IF('信用保険料計算書（上限2000万）'!$M$15="",0,IF($B252&lt;'信用保険料計算書（上限2000万）'!$M$15,0,IF($B252&gt;'信用保険料計算書（上限2000万）'!$M$16,0,1)))</f>
        <v>0</v>
      </c>
      <c r="M252" s="209">
        <f>IF(L252=1,HLOOKUP(C252,'計算書（第5回）'!$C$123:$U$124,2,TRUE),0)</f>
        <v>0</v>
      </c>
      <c r="N252" s="209">
        <f>IF('信用保険料計算書（上限2000万）'!$O$15="",0,IF($B252&lt;'信用保険料計算書（上限2000万）'!$O$15,0,IF($B252&gt;'信用保険料計算書（上限2000万）'!$O$16,0,1)))</f>
        <v>0</v>
      </c>
      <c r="O252" s="209">
        <f>IF(N252=1,HLOOKUP(C252,'計算書（第6回）'!$C$123:$U$124,2,TRUE),0)</f>
        <v>0</v>
      </c>
      <c r="P252" s="209">
        <f>IF('信用保険料計算書（上限2000万）'!$Q$15="",0,IF($B252&lt;'信用保険料計算書（上限2000万）'!$Q$15,0,IF($B252&gt;'信用保険料計算書（上限2000万）'!$Q$16,0,1)))</f>
        <v>0</v>
      </c>
      <c r="Q252" s="209">
        <f>IF(P252=1,HLOOKUP(C252,'計算書（第7回）'!$C$123:$U$124,2,TRUE),0)</f>
        <v>0</v>
      </c>
      <c r="R252" s="212"/>
      <c r="S252" s="211">
        <f>COUNTIF($AB$13:$AB$19,"&lt;=2032/1/1")</f>
        <v>2</v>
      </c>
      <c r="T252" s="178">
        <f t="shared" si="23"/>
        <v>44743</v>
      </c>
      <c r="U252" s="181">
        <f t="shared" si="21"/>
        <v>0</v>
      </c>
      <c r="V252" s="182">
        <f t="shared" si="25"/>
        <v>0</v>
      </c>
      <c r="W252" s="245">
        <f t="shared" si="24"/>
        <v>0</v>
      </c>
      <c r="X252" s="182"/>
    </row>
    <row r="253" spans="2:24">
      <c r="B253" s="214">
        <f t="shared" si="22"/>
        <v>48245</v>
      </c>
      <c r="C253" s="198">
        <f t="shared" si="20"/>
        <v>48214</v>
      </c>
      <c r="D253" s="209">
        <f>IF(B253&lt;'信用保険料計算書（上限2000万）'!$E$15,0,IF(B253&gt;'信用保険料計算書（上限2000万）'!$E$16,0,1))</f>
        <v>0</v>
      </c>
      <c r="E253" s="209">
        <f>IF(D253=1,HLOOKUP(C253,'計算書（第1回）'!$C$123:$U$124,2,TRUE),0)</f>
        <v>0</v>
      </c>
      <c r="F253" s="209">
        <f>IF('信用保険料計算書（上限2000万）'!$G$15="",0,IF($B253&lt;'信用保険料計算書（上限2000万）'!$G$15,0,IF($B253&gt;'信用保険料計算書（上限2000万）'!$G$16,0,1)))</f>
        <v>0</v>
      </c>
      <c r="G253" s="209">
        <f>IF(F253=1,HLOOKUP(C253,'計算書（第2回）'!$C$123:$U$124,2,TRUE),0)</f>
        <v>0</v>
      </c>
      <c r="H253" s="209">
        <f>IF('信用保険料計算書（上限2000万）'!$I$15="",0,IF($B253&lt;'信用保険料計算書（上限2000万）'!$I$15,0,IF($B253&gt;'信用保険料計算書（上限2000万）'!$I$16,0,1)))</f>
        <v>0</v>
      </c>
      <c r="I253" s="209">
        <f>IF(H253=1,HLOOKUP(C253,'計算書（第3回）'!$C$123:$U$124,2,TRUE),0)</f>
        <v>0</v>
      </c>
      <c r="J253" s="209">
        <f>IF('信用保険料計算書（上限2000万）'!$K$15="",0,IF($B253&lt;'信用保険料計算書（上限2000万）'!$K$15,0,IF($B253&gt;'信用保険料計算書（上限2000万）'!$K$16,0,1)))</f>
        <v>0</v>
      </c>
      <c r="K253" s="209">
        <f>IF(J253=1,HLOOKUP(C253,'計算書（第4回）'!$C$123:$U$124,2,TRUE),0)</f>
        <v>0</v>
      </c>
      <c r="L253" s="209">
        <f>IF('信用保険料計算書（上限2000万）'!$M$15="",0,IF($B253&lt;'信用保険料計算書（上限2000万）'!$M$15,0,IF($B253&gt;'信用保険料計算書（上限2000万）'!$M$16,0,1)))</f>
        <v>0</v>
      </c>
      <c r="M253" s="209">
        <f>IF(L253=1,HLOOKUP(C253,'計算書（第5回）'!$C$123:$U$124,2,TRUE),0)</f>
        <v>0</v>
      </c>
      <c r="N253" s="209">
        <f>IF('信用保険料計算書（上限2000万）'!$O$15="",0,IF($B253&lt;'信用保険料計算書（上限2000万）'!$O$15,0,IF($B253&gt;'信用保険料計算書（上限2000万）'!$O$16,0,1)))</f>
        <v>0</v>
      </c>
      <c r="O253" s="209">
        <f>IF(N253=1,HLOOKUP(C253,'計算書（第6回）'!$C$123:$U$124,2,TRUE),0)</f>
        <v>0</v>
      </c>
      <c r="P253" s="209">
        <f>IF('信用保険料計算書（上限2000万）'!$Q$15="",0,IF($B253&lt;'信用保険料計算書（上限2000万）'!$Q$15,0,IF($B253&gt;'信用保険料計算書（上限2000万）'!$Q$16,0,1)))</f>
        <v>0</v>
      </c>
      <c r="Q253" s="209">
        <f>IF(P253=1,HLOOKUP(C253,'計算書（第7回）'!$C$123:$U$124,2,TRUE),0)</f>
        <v>0</v>
      </c>
      <c r="R253" s="212"/>
      <c r="S253" s="211">
        <f>COUNTIF($AB$13:$AB$19,"&lt;=2032/2/1")</f>
        <v>2</v>
      </c>
      <c r="T253" s="178">
        <f t="shared" si="23"/>
        <v>44743</v>
      </c>
      <c r="U253" s="181">
        <f t="shared" si="21"/>
        <v>0</v>
      </c>
      <c r="V253" s="182">
        <f t="shared" si="25"/>
        <v>0</v>
      </c>
      <c r="W253" s="245">
        <f t="shared" si="24"/>
        <v>0</v>
      </c>
      <c r="X253" s="182"/>
    </row>
    <row r="254" spans="2:24">
      <c r="B254" s="214">
        <f t="shared" si="22"/>
        <v>48274</v>
      </c>
      <c r="C254" s="198">
        <f t="shared" si="20"/>
        <v>48245</v>
      </c>
      <c r="D254" s="209">
        <f>IF(B254&lt;'信用保険料計算書（上限2000万）'!$E$15,0,IF(B254&gt;'信用保険料計算書（上限2000万）'!$E$16,0,1))</f>
        <v>0</v>
      </c>
      <c r="E254" s="209">
        <f>IF(D254=1,HLOOKUP(C254,'計算書（第1回）'!$C$123:$U$124,2,TRUE),0)</f>
        <v>0</v>
      </c>
      <c r="F254" s="209">
        <f>IF('信用保険料計算書（上限2000万）'!$G$15="",0,IF($B254&lt;'信用保険料計算書（上限2000万）'!$G$15,0,IF($B254&gt;'信用保険料計算書（上限2000万）'!$G$16,0,1)))</f>
        <v>0</v>
      </c>
      <c r="G254" s="209">
        <f>IF(F254=1,HLOOKUP(C254,'計算書（第2回）'!$C$123:$U$124,2,TRUE),0)</f>
        <v>0</v>
      </c>
      <c r="H254" s="209">
        <f>IF('信用保険料計算書（上限2000万）'!$I$15="",0,IF($B254&lt;'信用保険料計算書（上限2000万）'!$I$15,0,IF($B254&gt;'信用保険料計算書（上限2000万）'!$I$16,0,1)))</f>
        <v>0</v>
      </c>
      <c r="I254" s="209">
        <f>IF(H254=1,HLOOKUP(C254,'計算書（第3回）'!$C$123:$U$124,2,TRUE),0)</f>
        <v>0</v>
      </c>
      <c r="J254" s="209">
        <f>IF('信用保険料計算書（上限2000万）'!$K$15="",0,IF($B254&lt;'信用保険料計算書（上限2000万）'!$K$15,0,IF($B254&gt;'信用保険料計算書（上限2000万）'!$K$16,0,1)))</f>
        <v>0</v>
      </c>
      <c r="K254" s="209">
        <f>IF(J254=1,HLOOKUP(C254,'計算書（第4回）'!$C$123:$U$124,2,TRUE),0)</f>
        <v>0</v>
      </c>
      <c r="L254" s="209">
        <f>IF('信用保険料計算書（上限2000万）'!$M$15="",0,IF($B254&lt;'信用保険料計算書（上限2000万）'!$M$15,0,IF($B254&gt;'信用保険料計算書（上限2000万）'!$M$16,0,1)))</f>
        <v>0</v>
      </c>
      <c r="M254" s="209">
        <f>IF(L254=1,HLOOKUP(C254,'計算書（第5回）'!$C$123:$U$124,2,TRUE),0)</f>
        <v>0</v>
      </c>
      <c r="N254" s="209">
        <f>IF('信用保険料計算書（上限2000万）'!$O$15="",0,IF($B254&lt;'信用保険料計算書（上限2000万）'!$O$15,0,IF($B254&gt;'信用保険料計算書（上限2000万）'!$O$16,0,1)))</f>
        <v>0</v>
      </c>
      <c r="O254" s="209">
        <f>IF(N254=1,HLOOKUP(C254,'計算書（第6回）'!$C$123:$U$124,2,TRUE),0)</f>
        <v>0</v>
      </c>
      <c r="P254" s="209">
        <f>IF('信用保険料計算書（上限2000万）'!$Q$15="",0,IF($B254&lt;'信用保険料計算書（上限2000万）'!$Q$15,0,IF($B254&gt;'信用保険料計算書（上限2000万）'!$Q$16,0,1)))</f>
        <v>0</v>
      </c>
      <c r="Q254" s="209">
        <f>IF(P254=1,HLOOKUP(C254,'計算書（第7回）'!$C$123:$U$124,2,TRUE),0)</f>
        <v>0</v>
      </c>
      <c r="R254" s="212"/>
      <c r="S254" s="211">
        <f>COUNTIF($AB$13:$AB$19,"&lt;=2032/3/1")</f>
        <v>2</v>
      </c>
      <c r="T254" s="178">
        <f t="shared" si="23"/>
        <v>44743</v>
      </c>
      <c r="U254" s="181">
        <f t="shared" si="21"/>
        <v>0</v>
      </c>
      <c r="V254" s="182">
        <f t="shared" si="25"/>
        <v>0</v>
      </c>
      <c r="W254" s="245">
        <f t="shared" si="24"/>
        <v>0</v>
      </c>
      <c r="X254" s="183">
        <f>INT(SUM(W249:W254))</f>
        <v>0</v>
      </c>
    </row>
    <row r="255" spans="2:24">
      <c r="B255" s="214">
        <f t="shared" si="22"/>
        <v>48305</v>
      </c>
      <c r="C255" s="198">
        <f t="shared" si="20"/>
        <v>48274</v>
      </c>
      <c r="D255" s="209">
        <f>IF(B255&lt;'信用保険料計算書（上限2000万）'!$E$15,0,IF(B255&gt;'信用保険料計算書（上限2000万）'!$E$16,0,1))</f>
        <v>0</v>
      </c>
      <c r="E255" s="209">
        <f>IF(D255=1,HLOOKUP(C255,'計算書（第1回）'!$C$123:$U$124,2,TRUE),0)</f>
        <v>0</v>
      </c>
      <c r="F255" s="209">
        <f>IF('信用保険料計算書（上限2000万）'!$G$15="",0,IF($B255&lt;'信用保険料計算書（上限2000万）'!$G$15,0,IF($B255&gt;'信用保険料計算書（上限2000万）'!$G$16,0,1)))</f>
        <v>0</v>
      </c>
      <c r="G255" s="209">
        <f>IF(F255=1,HLOOKUP(C255,'計算書（第2回）'!$C$123:$U$124,2,TRUE),0)</f>
        <v>0</v>
      </c>
      <c r="H255" s="209">
        <f>IF('信用保険料計算書（上限2000万）'!$I$15="",0,IF($B255&lt;'信用保険料計算書（上限2000万）'!$I$15,0,IF($B255&gt;'信用保険料計算書（上限2000万）'!$I$16,0,1)))</f>
        <v>0</v>
      </c>
      <c r="I255" s="209">
        <f>IF(H255=1,HLOOKUP(C255,'計算書（第3回）'!$C$123:$U$124,2,TRUE),0)</f>
        <v>0</v>
      </c>
      <c r="J255" s="209">
        <f>IF('信用保険料計算書（上限2000万）'!$K$15="",0,IF($B255&lt;'信用保険料計算書（上限2000万）'!$K$15,0,IF($B255&gt;'信用保険料計算書（上限2000万）'!$K$16,0,1)))</f>
        <v>0</v>
      </c>
      <c r="K255" s="209">
        <f>IF(J255=1,HLOOKUP(C255,'計算書（第4回）'!$C$123:$U$124,2,TRUE),0)</f>
        <v>0</v>
      </c>
      <c r="L255" s="209">
        <f>IF('信用保険料計算書（上限2000万）'!$M$15="",0,IF($B255&lt;'信用保険料計算書（上限2000万）'!$M$15,0,IF($B255&gt;'信用保険料計算書（上限2000万）'!$M$16,0,1)))</f>
        <v>0</v>
      </c>
      <c r="M255" s="209">
        <f>IF(L255=1,HLOOKUP(C255,'計算書（第5回）'!$C$123:$U$124,2,TRUE),0)</f>
        <v>0</v>
      </c>
      <c r="N255" s="209">
        <f>IF('信用保険料計算書（上限2000万）'!$O$15="",0,IF($B255&lt;'信用保険料計算書（上限2000万）'!$O$15,0,IF($B255&gt;'信用保険料計算書（上限2000万）'!$O$16,0,1)))</f>
        <v>0</v>
      </c>
      <c r="O255" s="209">
        <f>IF(N255=1,HLOOKUP(C255,'計算書（第6回）'!$C$123:$U$124,2,TRUE),0)</f>
        <v>0</v>
      </c>
      <c r="P255" s="209">
        <f>IF('信用保険料計算書（上限2000万）'!$Q$15="",0,IF($B255&lt;'信用保険料計算書（上限2000万）'!$Q$15,0,IF($B255&gt;'信用保険料計算書（上限2000万）'!$Q$16,0,1)))</f>
        <v>0</v>
      </c>
      <c r="Q255" s="209">
        <f>IF(P255=1,HLOOKUP(C255,'計算書（第7回）'!$C$123:$U$124,2,TRUE),0)</f>
        <v>0</v>
      </c>
      <c r="R255" s="213"/>
      <c r="S255" s="211">
        <f>COUNTIF($AB$13:$AB$19,"&lt;=2031/4/1")</f>
        <v>2</v>
      </c>
      <c r="T255" s="178">
        <f t="shared" si="23"/>
        <v>44743</v>
      </c>
      <c r="U255" s="181">
        <f t="shared" si="21"/>
        <v>0</v>
      </c>
      <c r="V255" s="182">
        <f t="shared" ref="V255:V266" si="26">IF(U255=0,0,IF(U255&gt;VLOOKUP(T255,$AA$5:$AB$8,2,TRUE),VLOOKUP(T255,$AA$5:$AB$8,2,TRUE),U255))</f>
        <v>0</v>
      </c>
      <c r="W255" s="245">
        <f t="shared" si="24"/>
        <v>0</v>
      </c>
      <c r="X255" s="182"/>
    </row>
    <row r="256" spans="2:24">
      <c r="B256" s="214">
        <f t="shared" si="22"/>
        <v>48335</v>
      </c>
      <c r="C256" s="198">
        <f t="shared" si="20"/>
        <v>48305</v>
      </c>
      <c r="D256" s="209">
        <f>IF(B256&lt;'信用保険料計算書（上限2000万）'!$E$15,0,IF(B256&gt;'信用保険料計算書（上限2000万）'!$E$16,0,1))</f>
        <v>0</v>
      </c>
      <c r="E256" s="209">
        <f>IF(D256=1,HLOOKUP(C256,'計算書（第1回）'!$C$123:$U$124,2,TRUE),0)</f>
        <v>0</v>
      </c>
      <c r="F256" s="209">
        <f>IF('信用保険料計算書（上限2000万）'!$G$15="",0,IF($B256&lt;'信用保険料計算書（上限2000万）'!$G$15,0,IF($B256&gt;'信用保険料計算書（上限2000万）'!$G$16,0,1)))</f>
        <v>0</v>
      </c>
      <c r="G256" s="209">
        <f>IF(F256=1,HLOOKUP(C256,'計算書（第2回）'!$C$123:$U$124,2,TRUE),0)</f>
        <v>0</v>
      </c>
      <c r="H256" s="209">
        <f>IF('信用保険料計算書（上限2000万）'!$I$15="",0,IF($B256&lt;'信用保険料計算書（上限2000万）'!$I$15,0,IF($B256&gt;'信用保険料計算書（上限2000万）'!$I$16,0,1)))</f>
        <v>0</v>
      </c>
      <c r="I256" s="209">
        <f>IF(H256=1,HLOOKUP(C256,'計算書（第3回）'!$C$123:$U$124,2,TRUE),0)</f>
        <v>0</v>
      </c>
      <c r="J256" s="209">
        <f>IF('信用保険料計算書（上限2000万）'!$K$15="",0,IF($B256&lt;'信用保険料計算書（上限2000万）'!$K$15,0,IF($B256&gt;'信用保険料計算書（上限2000万）'!$K$16,0,1)))</f>
        <v>0</v>
      </c>
      <c r="K256" s="209">
        <f>IF(J256=1,HLOOKUP(C256,'計算書（第4回）'!$C$123:$U$124,2,TRUE),0)</f>
        <v>0</v>
      </c>
      <c r="L256" s="209">
        <f>IF('信用保険料計算書（上限2000万）'!$M$15="",0,IF($B256&lt;'信用保険料計算書（上限2000万）'!$M$15,0,IF($B256&gt;'信用保険料計算書（上限2000万）'!$M$16,0,1)))</f>
        <v>0</v>
      </c>
      <c r="M256" s="209">
        <f>IF(L256=1,HLOOKUP(C256,'計算書（第5回）'!$C$123:$U$124,2,TRUE),0)</f>
        <v>0</v>
      </c>
      <c r="N256" s="209">
        <f>IF('信用保険料計算書（上限2000万）'!$O$15="",0,IF($B256&lt;'信用保険料計算書（上限2000万）'!$O$15,0,IF($B256&gt;'信用保険料計算書（上限2000万）'!$O$16,0,1)))</f>
        <v>0</v>
      </c>
      <c r="O256" s="209">
        <f>IF(N256=1,HLOOKUP(C256,'計算書（第6回）'!$C$123:$U$124,2,TRUE),0)</f>
        <v>0</v>
      </c>
      <c r="P256" s="209">
        <f>IF('信用保険料計算書（上限2000万）'!$Q$15="",0,IF($B256&lt;'信用保険料計算書（上限2000万）'!$Q$15,0,IF($B256&gt;'信用保険料計算書（上限2000万）'!$Q$16,0,1)))</f>
        <v>0</v>
      </c>
      <c r="Q256" s="209">
        <f>IF(P256=1,HLOOKUP(C256,'計算書（第7回）'!$C$123:$U$124,2,TRUE),0)</f>
        <v>0</v>
      </c>
      <c r="R256" s="213"/>
      <c r="S256" s="211">
        <f>COUNTIF($AB$13:$AB$19,"&lt;=2031/5/1")</f>
        <v>2</v>
      </c>
      <c r="T256" s="178">
        <f t="shared" si="23"/>
        <v>44743</v>
      </c>
      <c r="U256" s="181">
        <f t="shared" si="21"/>
        <v>0</v>
      </c>
      <c r="V256" s="182">
        <f t="shared" si="26"/>
        <v>0</v>
      </c>
      <c r="W256" s="245">
        <f t="shared" si="24"/>
        <v>0</v>
      </c>
      <c r="X256" s="182"/>
    </row>
    <row r="257" spans="2:24">
      <c r="B257" s="214">
        <f t="shared" si="22"/>
        <v>48366</v>
      </c>
      <c r="C257" s="198">
        <f t="shared" si="20"/>
        <v>48335</v>
      </c>
      <c r="D257" s="209">
        <f>IF(B257&lt;'信用保険料計算書（上限2000万）'!$E$15,0,IF(B257&gt;'信用保険料計算書（上限2000万）'!$E$16,0,1))</f>
        <v>0</v>
      </c>
      <c r="E257" s="209">
        <f>IF(D257=1,HLOOKUP(C257,'計算書（第1回）'!$C$123:$U$124,2,TRUE),0)</f>
        <v>0</v>
      </c>
      <c r="F257" s="209">
        <f>IF('信用保険料計算書（上限2000万）'!$G$15="",0,IF($B257&lt;'信用保険料計算書（上限2000万）'!$G$15,0,IF($B257&gt;'信用保険料計算書（上限2000万）'!$G$16,0,1)))</f>
        <v>0</v>
      </c>
      <c r="G257" s="209">
        <f>IF(F257=1,HLOOKUP(C257,'計算書（第2回）'!$C$123:$U$124,2,TRUE),0)</f>
        <v>0</v>
      </c>
      <c r="H257" s="209">
        <f>IF('信用保険料計算書（上限2000万）'!$I$15="",0,IF($B257&lt;'信用保険料計算書（上限2000万）'!$I$15,0,IF($B257&gt;'信用保険料計算書（上限2000万）'!$I$16,0,1)))</f>
        <v>0</v>
      </c>
      <c r="I257" s="209">
        <f>IF(H257=1,HLOOKUP(C257,'計算書（第3回）'!$C$123:$U$124,2,TRUE),0)</f>
        <v>0</v>
      </c>
      <c r="J257" s="209">
        <f>IF('信用保険料計算書（上限2000万）'!$K$15="",0,IF($B257&lt;'信用保険料計算書（上限2000万）'!$K$15,0,IF($B257&gt;'信用保険料計算書（上限2000万）'!$K$16,0,1)))</f>
        <v>0</v>
      </c>
      <c r="K257" s="209">
        <f>IF(J257=1,HLOOKUP(C257,'計算書（第4回）'!$C$123:$U$124,2,TRUE),0)</f>
        <v>0</v>
      </c>
      <c r="L257" s="209">
        <f>IF('信用保険料計算書（上限2000万）'!$M$15="",0,IF($B257&lt;'信用保険料計算書（上限2000万）'!$M$15,0,IF($B257&gt;'信用保険料計算書（上限2000万）'!$M$16,0,1)))</f>
        <v>0</v>
      </c>
      <c r="M257" s="209">
        <f>IF(L257=1,HLOOKUP(C257,'計算書（第5回）'!$C$123:$U$124,2,TRUE),0)</f>
        <v>0</v>
      </c>
      <c r="N257" s="209">
        <f>IF('信用保険料計算書（上限2000万）'!$O$15="",0,IF($B257&lt;'信用保険料計算書（上限2000万）'!$O$15,0,IF($B257&gt;'信用保険料計算書（上限2000万）'!$O$16,0,1)))</f>
        <v>0</v>
      </c>
      <c r="O257" s="209">
        <f>IF(N257=1,HLOOKUP(C257,'計算書（第6回）'!$C$123:$U$124,2,TRUE),0)</f>
        <v>0</v>
      </c>
      <c r="P257" s="209">
        <f>IF('信用保険料計算書（上限2000万）'!$Q$15="",0,IF($B257&lt;'信用保険料計算書（上限2000万）'!$Q$15,0,IF($B257&gt;'信用保険料計算書（上限2000万）'!$Q$16,0,1)))</f>
        <v>0</v>
      </c>
      <c r="Q257" s="209">
        <f>IF(P257=1,HLOOKUP(C257,'計算書（第7回）'!$C$123:$U$124,2,TRUE),0)</f>
        <v>0</v>
      </c>
      <c r="R257" s="213"/>
      <c r="S257" s="211">
        <f>COUNTIF($AB$13:$AB$19,"&lt;=2031/6/1")</f>
        <v>2</v>
      </c>
      <c r="T257" s="178">
        <f t="shared" si="23"/>
        <v>44743</v>
      </c>
      <c r="U257" s="181">
        <f t="shared" si="21"/>
        <v>0</v>
      </c>
      <c r="V257" s="182">
        <f t="shared" si="26"/>
        <v>0</v>
      </c>
      <c r="W257" s="245">
        <f t="shared" si="24"/>
        <v>0</v>
      </c>
      <c r="X257" s="182"/>
    </row>
    <row r="258" spans="2:24">
      <c r="B258" s="214">
        <f t="shared" si="22"/>
        <v>48396</v>
      </c>
      <c r="C258" s="198">
        <f t="shared" si="20"/>
        <v>48366</v>
      </c>
      <c r="D258" s="209">
        <f>IF(B258&lt;'信用保険料計算書（上限2000万）'!$E$15,0,IF(B258&gt;'信用保険料計算書（上限2000万）'!$E$16,0,1))</f>
        <v>0</v>
      </c>
      <c r="E258" s="209">
        <f>IF(D258=1,HLOOKUP(C258,'計算書（第1回）'!$C$123:$U$124,2,TRUE),0)</f>
        <v>0</v>
      </c>
      <c r="F258" s="209">
        <f>IF('信用保険料計算書（上限2000万）'!$G$15="",0,IF($B258&lt;'信用保険料計算書（上限2000万）'!$G$15,0,IF($B258&gt;'信用保険料計算書（上限2000万）'!$G$16,0,1)))</f>
        <v>0</v>
      </c>
      <c r="G258" s="209">
        <f>IF(F258=1,HLOOKUP(C258,'計算書（第2回）'!$C$123:$U$124,2,TRUE),0)</f>
        <v>0</v>
      </c>
      <c r="H258" s="209">
        <f>IF('信用保険料計算書（上限2000万）'!$I$15="",0,IF($B258&lt;'信用保険料計算書（上限2000万）'!$I$15,0,IF($B258&gt;'信用保険料計算書（上限2000万）'!$I$16,0,1)))</f>
        <v>0</v>
      </c>
      <c r="I258" s="209">
        <f>IF(H258=1,HLOOKUP(C258,'計算書（第3回）'!$C$123:$U$124,2,TRUE),0)</f>
        <v>0</v>
      </c>
      <c r="J258" s="209">
        <f>IF('信用保険料計算書（上限2000万）'!$K$15="",0,IF($B258&lt;'信用保険料計算書（上限2000万）'!$K$15,0,IF($B258&gt;'信用保険料計算書（上限2000万）'!$K$16,0,1)))</f>
        <v>0</v>
      </c>
      <c r="K258" s="209">
        <f>IF(J258=1,HLOOKUP(C258,'計算書（第4回）'!$C$123:$U$124,2,TRUE),0)</f>
        <v>0</v>
      </c>
      <c r="L258" s="209">
        <f>IF('信用保険料計算書（上限2000万）'!$M$15="",0,IF($B258&lt;'信用保険料計算書（上限2000万）'!$M$15,0,IF($B258&gt;'信用保険料計算書（上限2000万）'!$M$16,0,1)))</f>
        <v>0</v>
      </c>
      <c r="M258" s="209">
        <f>IF(L258=1,HLOOKUP(C258,'計算書（第5回）'!$C$123:$U$124,2,TRUE),0)</f>
        <v>0</v>
      </c>
      <c r="N258" s="209">
        <f>IF('信用保険料計算書（上限2000万）'!$O$15="",0,IF($B258&lt;'信用保険料計算書（上限2000万）'!$O$15,0,IF($B258&gt;'信用保険料計算書（上限2000万）'!$O$16,0,1)))</f>
        <v>0</v>
      </c>
      <c r="O258" s="209">
        <f>IF(N258=1,HLOOKUP(C258,'計算書（第6回）'!$C$123:$U$124,2,TRUE),0)</f>
        <v>0</v>
      </c>
      <c r="P258" s="209">
        <f>IF('信用保険料計算書（上限2000万）'!$Q$15="",0,IF($B258&lt;'信用保険料計算書（上限2000万）'!$Q$15,0,IF($B258&gt;'信用保険料計算書（上限2000万）'!$Q$16,0,1)))</f>
        <v>0</v>
      </c>
      <c r="Q258" s="209">
        <f>IF(P258=1,HLOOKUP(C258,'計算書（第7回）'!$C$123:$U$124,2,TRUE),0)</f>
        <v>0</v>
      </c>
      <c r="R258" s="213"/>
      <c r="S258" s="211">
        <f>COUNTIF($AB$13:$AB$19,"&lt;=2031/7/1")</f>
        <v>2</v>
      </c>
      <c r="T258" s="178">
        <f t="shared" si="23"/>
        <v>44743</v>
      </c>
      <c r="U258" s="181">
        <f t="shared" si="21"/>
        <v>0</v>
      </c>
      <c r="V258" s="182">
        <f t="shared" si="26"/>
        <v>0</v>
      </c>
      <c r="W258" s="245">
        <f t="shared" si="24"/>
        <v>0</v>
      </c>
      <c r="X258" s="182"/>
    </row>
    <row r="259" spans="2:24">
      <c r="B259" s="214">
        <f t="shared" si="22"/>
        <v>48427</v>
      </c>
      <c r="C259" s="198">
        <f t="shared" ref="C259:C322" si="27">EDATE(B259,-1)</f>
        <v>48396</v>
      </c>
      <c r="D259" s="209">
        <f>IF(B259&lt;'信用保険料計算書（上限2000万）'!$E$15,0,IF(B259&gt;'信用保険料計算書（上限2000万）'!$E$16,0,1))</f>
        <v>0</v>
      </c>
      <c r="E259" s="209">
        <f>IF(D259=1,HLOOKUP(C259,'計算書（第1回）'!$C$123:$U$124,2,TRUE),0)</f>
        <v>0</v>
      </c>
      <c r="F259" s="209">
        <f>IF('信用保険料計算書（上限2000万）'!$G$15="",0,IF($B259&lt;'信用保険料計算書（上限2000万）'!$G$15,0,IF($B259&gt;'信用保険料計算書（上限2000万）'!$G$16,0,1)))</f>
        <v>0</v>
      </c>
      <c r="G259" s="209">
        <f>IF(F259=1,HLOOKUP(C259,'計算書（第2回）'!$C$123:$U$124,2,TRUE),0)</f>
        <v>0</v>
      </c>
      <c r="H259" s="209">
        <f>IF('信用保険料計算書（上限2000万）'!$I$15="",0,IF($B259&lt;'信用保険料計算書（上限2000万）'!$I$15,0,IF($B259&gt;'信用保険料計算書（上限2000万）'!$I$16,0,1)))</f>
        <v>0</v>
      </c>
      <c r="I259" s="209">
        <f>IF(H259=1,HLOOKUP(C259,'計算書（第3回）'!$C$123:$U$124,2,TRUE),0)</f>
        <v>0</v>
      </c>
      <c r="J259" s="209">
        <f>IF('信用保険料計算書（上限2000万）'!$K$15="",0,IF($B259&lt;'信用保険料計算書（上限2000万）'!$K$15,0,IF($B259&gt;'信用保険料計算書（上限2000万）'!$K$16,0,1)))</f>
        <v>0</v>
      </c>
      <c r="K259" s="209">
        <f>IF(J259=1,HLOOKUP(C259,'計算書（第4回）'!$C$123:$U$124,2,TRUE),0)</f>
        <v>0</v>
      </c>
      <c r="L259" s="209">
        <f>IF('信用保険料計算書（上限2000万）'!$M$15="",0,IF($B259&lt;'信用保険料計算書（上限2000万）'!$M$15,0,IF($B259&gt;'信用保険料計算書（上限2000万）'!$M$16,0,1)))</f>
        <v>0</v>
      </c>
      <c r="M259" s="209">
        <f>IF(L259=1,HLOOKUP(C259,'計算書（第5回）'!$C$123:$U$124,2,TRUE),0)</f>
        <v>0</v>
      </c>
      <c r="N259" s="209">
        <f>IF('信用保険料計算書（上限2000万）'!$O$15="",0,IF($B259&lt;'信用保険料計算書（上限2000万）'!$O$15,0,IF($B259&gt;'信用保険料計算書（上限2000万）'!$O$16,0,1)))</f>
        <v>0</v>
      </c>
      <c r="O259" s="209">
        <f>IF(N259=1,HLOOKUP(C259,'計算書（第6回）'!$C$123:$U$124,2,TRUE),0)</f>
        <v>0</v>
      </c>
      <c r="P259" s="209">
        <f>IF('信用保険料計算書（上限2000万）'!$Q$15="",0,IF($B259&lt;'信用保険料計算書（上限2000万）'!$Q$15,0,IF($B259&gt;'信用保険料計算書（上限2000万）'!$Q$16,0,1)))</f>
        <v>0</v>
      </c>
      <c r="Q259" s="209">
        <f>IF(P259=1,HLOOKUP(C259,'計算書（第7回）'!$C$123:$U$124,2,TRUE),0)</f>
        <v>0</v>
      </c>
      <c r="R259" s="213"/>
      <c r="S259" s="211">
        <f>COUNTIF($AB$13:$AB$19,"&lt;=2031/8/1")</f>
        <v>2</v>
      </c>
      <c r="T259" s="178">
        <f t="shared" si="23"/>
        <v>44743</v>
      </c>
      <c r="U259" s="181">
        <f t="shared" ref="U259:U322" si="28">E259+G259+I259+K259+M259+O259+Q259</f>
        <v>0</v>
      </c>
      <c r="V259" s="182">
        <f t="shared" si="26"/>
        <v>0</v>
      </c>
      <c r="W259" s="245">
        <f t="shared" si="24"/>
        <v>0</v>
      </c>
      <c r="X259" s="182"/>
    </row>
    <row r="260" spans="2:24">
      <c r="B260" s="214">
        <f t="shared" ref="B260:B323" si="29">EDATE(B259,1)</f>
        <v>48458</v>
      </c>
      <c r="C260" s="198">
        <f t="shared" si="27"/>
        <v>48427</v>
      </c>
      <c r="D260" s="209">
        <f>IF(B260&lt;'信用保険料計算書（上限2000万）'!$E$15,0,IF(B260&gt;'信用保険料計算書（上限2000万）'!$E$16,0,1))</f>
        <v>0</v>
      </c>
      <c r="E260" s="209">
        <f>IF(D260=1,HLOOKUP(C260,'計算書（第1回）'!$C$123:$U$124,2,TRUE),0)</f>
        <v>0</v>
      </c>
      <c r="F260" s="209">
        <f>IF('信用保険料計算書（上限2000万）'!$G$15="",0,IF($B260&lt;'信用保険料計算書（上限2000万）'!$G$15,0,IF($B260&gt;'信用保険料計算書（上限2000万）'!$G$16,0,1)))</f>
        <v>0</v>
      </c>
      <c r="G260" s="209">
        <f>IF(F260=1,HLOOKUP(C260,'計算書（第2回）'!$C$123:$U$124,2,TRUE),0)</f>
        <v>0</v>
      </c>
      <c r="H260" s="209">
        <f>IF('信用保険料計算書（上限2000万）'!$I$15="",0,IF($B260&lt;'信用保険料計算書（上限2000万）'!$I$15,0,IF($B260&gt;'信用保険料計算書（上限2000万）'!$I$16,0,1)))</f>
        <v>0</v>
      </c>
      <c r="I260" s="209">
        <f>IF(H260=1,HLOOKUP(C260,'計算書（第3回）'!$C$123:$U$124,2,TRUE),0)</f>
        <v>0</v>
      </c>
      <c r="J260" s="209">
        <f>IF('信用保険料計算書（上限2000万）'!$K$15="",0,IF($B260&lt;'信用保険料計算書（上限2000万）'!$K$15,0,IF($B260&gt;'信用保険料計算書（上限2000万）'!$K$16,0,1)))</f>
        <v>0</v>
      </c>
      <c r="K260" s="209">
        <f>IF(J260=1,HLOOKUP(C260,'計算書（第4回）'!$C$123:$U$124,2,TRUE),0)</f>
        <v>0</v>
      </c>
      <c r="L260" s="209">
        <f>IF('信用保険料計算書（上限2000万）'!$M$15="",0,IF($B260&lt;'信用保険料計算書（上限2000万）'!$M$15,0,IF($B260&gt;'信用保険料計算書（上限2000万）'!$M$16,0,1)))</f>
        <v>0</v>
      </c>
      <c r="M260" s="209">
        <f>IF(L260=1,HLOOKUP(C260,'計算書（第5回）'!$C$123:$U$124,2,TRUE),0)</f>
        <v>0</v>
      </c>
      <c r="N260" s="209">
        <f>IF('信用保険料計算書（上限2000万）'!$O$15="",0,IF($B260&lt;'信用保険料計算書（上限2000万）'!$O$15,0,IF($B260&gt;'信用保険料計算書（上限2000万）'!$O$16,0,1)))</f>
        <v>0</v>
      </c>
      <c r="O260" s="209">
        <f>IF(N260=1,HLOOKUP(C260,'計算書（第6回）'!$C$123:$U$124,2,TRUE),0)</f>
        <v>0</v>
      </c>
      <c r="P260" s="209">
        <f>IF('信用保険料計算書（上限2000万）'!$Q$15="",0,IF($B260&lt;'信用保険料計算書（上限2000万）'!$Q$15,0,IF($B260&gt;'信用保険料計算書（上限2000万）'!$Q$16,0,1)))</f>
        <v>0</v>
      </c>
      <c r="Q260" s="209">
        <f>IF(P260=1,HLOOKUP(C260,'計算書（第7回）'!$C$123:$U$124,2,TRUE),0)</f>
        <v>0</v>
      </c>
      <c r="R260" s="213"/>
      <c r="S260" s="211">
        <f>COUNTIF($AB$13:$AB$19,"&lt;=2031/9/1")</f>
        <v>2</v>
      </c>
      <c r="T260" s="178">
        <f t="shared" ref="T260:T323" si="30">IF(S260="","",SMALL($AB$13:$AB$19,$S260))</f>
        <v>44743</v>
      </c>
      <c r="U260" s="181">
        <f t="shared" si="28"/>
        <v>0</v>
      </c>
      <c r="V260" s="182">
        <f t="shared" si="26"/>
        <v>0</v>
      </c>
      <c r="W260" s="245">
        <f t="shared" ref="W260:W323" si="31">IF(V260=0,0,ROUNDDOWN(V260*0.0048/12,2))</f>
        <v>0</v>
      </c>
      <c r="X260" s="183">
        <f>INT(SUM(W255:W260))</f>
        <v>0</v>
      </c>
    </row>
    <row r="261" spans="2:24">
      <c r="B261" s="214">
        <f t="shared" si="29"/>
        <v>48488</v>
      </c>
      <c r="C261" s="198">
        <f t="shared" si="27"/>
        <v>48458</v>
      </c>
      <c r="D261" s="209">
        <f>IF(B261&lt;'信用保険料計算書（上限2000万）'!$E$15,0,IF(B261&gt;'信用保険料計算書（上限2000万）'!$E$16,0,1))</f>
        <v>0</v>
      </c>
      <c r="E261" s="209">
        <f>IF(D261=1,HLOOKUP(C261,'計算書（第1回）'!$C$123:$U$124,2,TRUE),0)</f>
        <v>0</v>
      </c>
      <c r="F261" s="209">
        <f>IF('信用保険料計算書（上限2000万）'!$G$15="",0,IF($B261&lt;'信用保険料計算書（上限2000万）'!$G$15,0,IF($B261&gt;'信用保険料計算書（上限2000万）'!$G$16,0,1)))</f>
        <v>0</v>
      </c>
      <c r="G261" s="209">
        <f>IF(F261=1,HLOOKUP(C261,'計算書（第2回）'!$C$123:$U$124,2,TRUE),0)</f>
        <v>0</v>
      </c>
      <c r="H261" s="209">
        <f>IF('信用保険料計算書（上限2000万）'!$I$15="",0,IF($B261&lt;'信用保険料計算書（上限2000万）'!$I$15,0,IF($B261&gt;'信用保険料計算書（上限2000万）'!$I$16,0,1)))</f>
        <v>0</v>
      </c>
      <c r="I261" s="209">
        <f>IF(H261=1,HLOOKUP(C261,'計算書（第3回）'!$C$123:$U$124,2,TRUE),0)</f>
        <v>0</v>
      </c>
      <c r="J261" s="209">
        <f>IF('信用保険料計算書（上限2000万）'!$K$15="",0,IF($B261&lt;'信用保険料計算書（上限2000万）'!$K$15,0,IF($B261&gt;'信用保険料計算書（上限2000万）'!$K$16,0,1)))</f>
        <v>0</v>
      </c>
      <c r="K261" s="209">
        <f>IF(J261=1,HLOOKUP(C261,'計算書（第4回）'!$C$123:$U$124,2,TRUE),0)</f>
        <v>0</v>
      </c>
      <c r="L261" s="209">
        <f>IF('信用保険料計算書（上限2000万）'!$M$15="",0,IF($B261&lt;'信用保険料計算書（上限2000万）'!$M$15,0,IF($B261&gt;'信用保険料計算書（上限2000万）'!$M$16,0,1)))</f>
        <v>0</v>
      </c>
      <c r="M261" s="209">
        <f>IF(L261=1,HLOOKUP(C261,'計算書（第5回）'!$C$123:$U$124,2,TRUE),0)</f>
        <v>0</v>
      </c>
      <c r="N261" s="209">
        <f>IF('信用保険料計算書（上限2000万）'!$O$15="",0,IF($B261&lt;'信用保険料計算書（上限2000万）'!$O$15,0,IF($B261&gt;'信用保険料計算書（上限2000万）'!$O$16,0,1)))</f>
        <v>0</v>
      </c>
      <c r="O261" s="209">
        <f>IF(N261=1,HLOOKUP(C261,'計算書（第6回）'!$C$123:$U$124,2,TRUE),0)</f>
        <v>0</v>
      </c>
      <c r="P261" s="209">
        <f>IF('信用保険料計算書（上限2000万）'!$Q$15="",0,IF($B261&lt;'信用保険料計算書（上限2000万）'!$Q$15,0,IF($B261&gt;'信用保険料計算書（上限2000万）'!$Q$16,0,1)))</f>
        <v>0</v>
      </c>
      <c r="Q261" s="209">
        <f>IF(P261=1,HLOOKUP(C261,'計算書（第7回）'!$C$123:$U$124,2,TRUE),0)</f>
        <v>0</v>
      </c>
      <c r="R261" s="213"/>
      <c r="S261" s="211">
        <f>COUNTIF($AB$13:$AB$19,"&lt;=2031/10/1")</f>
        <v>2</v>
      </c>
      <c r="T261" s="178">
        <f t="shared" si="30"/>
        <v>44743</v>
      </c>
      <c r="U261" s="181">
        <f t="shared" si="28"/>
        <v>0</v>
      </c>
      <c r="V261" s="182">
        <f t="shared" si="26"/>
        <v>0</v>
      </c>
      <c r="W261" s="245">
        <f t="shared" si="31"/>
        <v>0</v>
      </c>
      <c r="X261" s="182"/>
    </row>
    <row r="262" spans="2:24">
      <c r="B262" s="214">
        <f t="shared" si="29"/>
        <v>48519</v>
      </c>
      <c r="C262" s="198">
        <f t="shared" si="27"/>
        <v>48488</v>
      </c>
      <c r="D262" s="209">
        <f>IF(B262&lt;'信用保険料計算書（上限2000万）'!$E$15,0,IF(B262&gt;'信用保険料計算書（上限2000万）'!$E$16,0,1))</f>
        <v>0</v>
      </c>
      <c r="E262" s="209">
        <f>IF(D262=1,HLOOKUP(C262,'計算書（第1回）'!$C$123:$U$124,2,TRUE),0)</f>
        <v>0</v>
      </c>
      <c r="F262" s="209">
        <f>IF('信用保険料計算書（上限2000万）'!$G$15="",0,IF($B262&lt;'信用保険料計算書（上限2000万）'!$G$15,0,IF($B262&gt;'信用保険料計算書（上限2000万）'!$G$16,0,1)))</f>
        <v>0</v>
      </c>
      <c r="G262" s="209">
        <f>IF(F262=1,HLOOKUP(C262,'計算書（第2回）'!$C$123:$U$124,2,TRUE),0)</f>
        <v>0</v>
      </c>
      <c r="H262" s="209">
        <f>IF('信用保険料計算書（上限2000万）'!$I$15="",0,IF($B262&lt;'信用保険料計算書（上限2000万）'!$I$15,0,IF($B262&gt;'信用保険料計算書（上限2000万）'!$I$16,0,1)))</f>
        <v>0</v>
      </c>
      <c r="I262" s="209">
        <f>IF(H262=1,HLOOKUP(C262,'計算書（第3回）'!$C$123:$U$124,2,TRUE),0)</f>
        <v>0</v>
      </c>
      <c r="J262" s="209">
        <f>IF('信用保険料計算書（上限2000万）'!$K$15="",0,IF($B262&lt;'信用保険料計算書（上限2000万）'!$K$15,0,IF($B262&gt;'信用保険料計算書（上限2000万）'!$K$16,0,1)))</f>
        <v>0</v>
      </c>
      <c r="K262" s="209">
        <f>IF(J262=1,HLOOKUP(C262,'計算書（第4回）'!$C$123:$U$124,2,TRUE),0)</f>
        <v>0</v>
      </c>
      <c r="L262" s="209">
        <f>IF('信用保険料計算書（上限2000万）'!$M$15="",0,IF($B262&lt;'信用保険料計算書（上限2000万）'!$M$15,0,IF($B262&gt;'信用保険料計算書（上限2000万）'!$M$16,0,1)))</f>
        <v>0</v>
      </c>
      <c r="M262" s="209">
        <f>IF(L262=1,HLOOKUP(C262,'計算書（第5回）'!$C$123:$U$124,2,TRUE),0)</f>
        <v>0</v>
      </c>
      <c r="N262" s="209">
        <f>IF('信用保険料計算書（上限2000万）'!$O$15="",0,IF($B262&lt;'信用保険料計算書（上限2000万）'!$O$15,0,IF($B262&gt;'信用保険料計算書（上限2000万）'!$O$16,0,1)))</f>
        <v>0</v>
      </c>
      <c r="O262" s="209">
        <f>IF(N262=1,HLOOKUP(C262,'計算書（第6回）'!$C$123:$U$124,2,TRUE),0)</f>
        <v>0</v>
      </c>
      <c r="P262" s="209">
        <f>IF('信用保険料計算書（上限2000万）'!$Q$15="",0,IF($B262&lt;'信用保険料計算書（上限2000万）'!$Q$15,0,IF($B262&gt;'信用保険料計算書（上限2000万）'!$Q$16,0,1)))</f>
        <v>0</v>
      </c>
      <c r="Q262" s="209">
        <f>IF(P262=1,HLOOKUP(C262,'計算書（第7回）'!$C$123:$U$124,2,TRUE),0)</f>
        <v>0</v>
      </c>
      <c r="R262" s="213"/>
      <c r="S262" s="211">
        <f>COUNTIF($AB$13:$AB$19,"&lt;=2031/11/1")</f>
        <v>2</v>
      </c>
      <c r="T262" s="178">
        <f t="shared" si="30"/>
        <v>44743</v>
      </c>
      <c r="U262" s="181">
        <f t="shared" si="28"/>
        <v>0</v>
      </c>
      <c r="V262" s="182">
        <f t="shared" si="26"/>
        <v>0</v>
      </c>
      <c r="W262" s="245">
        <f t="shared" si="31"/>
        <v>0</v>
      </c>
      <c r="X262" s="182"/>
    </row>
    <row r="263" spans="2:24">
      <c r="B263" s="214">
        <f t="shared" si="29"/>
        <v>48549</v>
      </c>
      <c r="C263" s="198">
        <f t="shared" si="27"/>
        <v>48519</v>
      </c>
      <c r="D263" s="209">
        <f>IF(B263&lt;'信用保険料計算書（上限2000万）'!$E$15,0,IF(B263&gt;'信用保険料計算書（上限2000万）'!$E$16,0,1))</f>
        <v>0</v>
      </c>
      <c r="E263" s="209">
        <f>IF(D263=1,HLOOKUP(C263,'計算書（第1回）'!$C$123:$U$124,2,TRUE),0)</f>
        <v>0</v>
      </c>
      <c r="F263" s="209">
        <f>IF('信用保険料計算書（上限2000万）'!$G$15="",0,IF($B263&lt;'信用保険料計算書（上限2000万）'!$G$15,0,IF($B263&gt;'信用保険料計算書（上限2000万）'!$G$16,0,1)))</f>
        <v>0</v>
      </c>
      <c r="G263" s="209">
        <f>IF(F263=1,HLOOKUP(C263,'計算書（第2回）'!$C$123:$U$124,2,TRUE),0)</f>
        <v>0</v>
      </c>
      <c r="H263" s="209">
        <f>IF('信用保険料計算書（上限2000万）'!$I$15="",0,IF($B263&lt;'信用保険料計算書（上限2000万）'!$I$15,0,IF($B263&gt;'信用保険料計算書（上限2000万）'!$I$16,0,1)))</f>
        <v>0</v>
      </c>
      <c r="I263" s="209">
        <f>IF(H263=1,HLOOKUP(C263,'計算書（第3回）'!$C$123:$U$124,2,TRUE),0)</f>
        <v>0</v>
      </c>
      <c r="J263" s="209">
        <f>IF('信用保険料計算書（上限2000万）'!$K$15="",0,IF($B263&lt;'信用保険料計算書（上限2000万）'!$K$15,0,IF($B263&gt;'信用保険料計算書（上限2000万）'!$K$16,0,1)))</f>
        <v>0</v>
      </c>
      <c r="K263" s="209">
        <f>IF(J263=1,HLOOKUP(C263,'計算書（第4回）'!$C$123:$U$124,2,TRUE),0)</f>
        <v>0</v>
      </c>
      <c r="L263" s="209">
        <f>IF('信用保険料計算書（上限2000万）'!$M$15="",0,IF($B263&lt;'信用保険料計算書（上限2000万）'!$M$15,0,IF($B263&gt;'信用保険料計算書（上限2000万）'!$M$16,0,1)))</f>
        <v>0</v>
      </c>
      <c r="M263" s="209">
        <f>IF(L263=1,HLOOKUP(C263,'計算書（第5回）'!$C$123:$U$124,2,TRUE),0)</f>
        <v>0</v>
      </c>
      <c r="N263" s="209">
        <f>IF('信用保険料計算書（上限2000万）'!$O$15="",0,IF($B263&lt;'信用保険料計算書（上限2000万）'!$O$15,0,IF($B263&gt;'信用保険料計算書（上限2000万）'!$O$16,0,1)))</f>
        <v>0</v>
      </c>
      <c r="O263" s="209">
        <f>IF(N263=1,HLOOKUP(C263,'計算書（第6回）'!$C$123:$U$124,2,TRUE),0)</f>
        <v>0</v>
      </c>
      <c r="P263" s="209">
        <f>IF('信用保険料計算書（上限2000万）'!$Q$15="",0,IF($B263&lt;'信用保険料計算書（上限2000万）'!$Q$15,0,IF($B263&gt;'信用保険料計算書（上限2000万）'!$Q$16,0,1)))</f>
        <v>0</v>
      </c>
      <c r="Q263" s="209">
        <f>IF(P263=1,HLOOKUP(C263,'計算書（第7回）'!$C$123:$U$124,2,TRUE),0)</f>
        <v>0</v>
      </c>
      <c r="R263" s="213"/>
      <c r="S263" s="211">
        <f>COUNTIF($AB$13:$AB$19,"&lt;=2031/12/1")</f>
        <v>2</v>
      </c>
      <c r="T263" s="178">
        <f t="shared" si="30"/>
        <v>44743</v>
      </c>
      <c r="U263" s="181">
        <f t="shared" si="28"/>
        <v>0</v>
      </c>
      <c r="V263" s="182">
        <f t="shared" si="26"/>
        <v>0</v>
      </c>
      <c r="W263" s="245">
        <f t="shared" si="31"/>
        <v>0</v>
      </c>
      <c r="X263" s="182"/>
    </row>
    <row r="264" spans="2:24">
      <c r="B264" s="214">
        <f t="shared" si="29"/>
        <v>48580</v>
      </c>
      <c r="C264" s="198">
        <f t="shared" si="27"/>
        <v>48549</v>
      </c>
      <c r="D264" s="209">
        <f>IF(B264&lt;'信用保険料計算書（上限2000万）'!$E$15,0,IF(B264&gt;'信用保険料計算書（上限2000万）'!$E$16,0,1))</f>
        <v>0</v>
      </c>
      <c r="E264" s="209">
        <f>IF(D264=1,HLOOKUP(C264,'計算書（第1回）'!$C$123:$U$124,2,TRUE),0)</f>
        <v>0</v>
      </c>
      <c r="F264" s="209">
        <f>IF('信用保険料計算書（上限2000万）'!$G$15="",0,IF($B264&lt;'信用保険料計算書（上限2000万）'!$G$15,0,IF($B264&gt;'信用保険料計算書（上限2000万）'!$G$16,0,1)))</f>
        <v>0</v>
      </c>
      <c r="G264" s="209">
        <f>IF(F264=1,HLOOKUP(C264,'計算書（第2回）'!$C$123:$U$124,2,TRUE),0)</f>
        <v>0</v>
      </c>
      <c r="H264" s="209">
        <f>IF('信用保険料計算書（上限2000万）'!$I$15="",0,IF($B264&lt;'信用保険料計算書（上限2000万）'!$I$15,0,IF($B264&gt;'信用保険料計算書（上限2000万）'!$I$16,0,1)))</f>
        <v>0</v>
      </c>
      <c r="I264" s="209">
        <f>IF(H264=1,HLOOKUP(C264,'計算書（第3回）'!$C$123:$U$124,2,TRUE),0)</f>
        <v>0</v>
      </c>
      <c r="J264" s="209">
        <f>IF('信用保険料計算書（上限2000万）'!$K$15="",0,IF($B264&lt;'信用保険料計算書（上限2000万）'!$K$15,0,IF($B264&gt;'信用保険料計算書（上限2000万）'!$K$16,0,1)))</f>
        <v>0</v>
      </c>
      <c r="K264" s="209">
        <f>IF(J264=1,HLOOKUP(C264,'計算書（第4回）'!$C$123:$U$124,2,TRUE),0)</f>
        <v>0</v>
      </c>
      <c r="L264" s="209">
        <f>IF('信用保険料計算書（上限2000万）'!$M$15="",0,IF($B264&lt;'信用保険料計算書（上限2000万）'!$M$15,0,IF($B264&gt;'信用保険料計算書（上限2000万）'!$M$16,0,1)))</f>
        <v>0</v>
      </c>
      <c r="M264" s="209">
        <f>IF(L264=1,HLOOKUP(C264,'計算書（第5回）'!$C$123:$U$124,2,TRUE),0)</f>
        <v>0</v>
      </c>
      <c r="N264" s="209">
        <f>IF('信用保険料計算書（上限2000万）'!$O$15="",0,IF($B264&lt;'信用保険料計算書（上限2000万）'!$O$15,0,IF($B264&gt;'信用保険料計算書（上限2000万）'!$O$16,0,1)))</f>
        <v>0</v>
      </c>
      <c r="O264" s="209">
        <f>IF(N264=1,HLOOKUP(C264,'計算書（第6回）'!$C$123:$U$124,2,TRUE),0)</f>
        <v>0</v>
      </c>
      <c r="P264" s="209">
        <f>IF('信用保険料計算書（上限2000万）'!$Q$15="",0,IF($B264&lt;'信用保険料計算書（上限2000万）'!$Q$15,0,IF($B264&gt;'信用保険料計算書（上限2000万）'!$Q$16,0,1)))</f>
        <v>0</v>
      </c>
      <c r="Q264" s="209">
        <f>IF(P264=1,HLOOKUP(C264,'計算書（第7回）'!$C$123:$U$124,2,TRUE),0)</f>
        <v>0</v>
      </c>
      <c r="R264" s="212"/>
      <c r="S264" s="211">
        <f>COUNTIF($AB$13:$AB$19,"&lt;=2032/1/1")</f>
        <v>2</v>
      </c>
      <c r="T264" s="178">
        <f t="shared" si="30"/>
        <v>44743</v>
      </c>
      <c r="U264" s="181">
        <f t="shared" si="28"/>
        <v>0</v>
      </c>
      <c r="V264" s="182">
        <f t="shared" si="26"/>
        <v>0</v>
      </c>
      <c r="W264" s="245">
        <f t="shared" si="31"/>
        <v>0</v>
      </c>
      <c r="X264" s="182"/>
    </row>
    <row r="265" spans="2:24">
      <c r="B265" s="214">
        <f t="shared" si="29"/>
        <v>48611</v>
      </c>
      <c r="C265" s="198">
        <f t="shared" si="27"/>
        <v>48580</v>
      </c>
      <c r="D265" s="209">
        <f>IF(B265&lt;'信用保険料計算書（上限2000万）'!$E$15,0,IF(B265&gt;'信用保険料計算書（上限2000万）'!$E$16,0,1))</f>
        <v>0</v>
      </c>
      <c r="E265" s="209">
        <f>IF(D265=1,HLOOKUP(C265,'計算書（第1回）'!$C$123:$U$124,2,TRUE),0)</f>
        <v>0</v>
      </c>
      <c r="F265" s="209">
        <f>IF('信用保険料計算書（上限2000万）'!$G$15="",0,IF($B265&lt;'信用保険料計算書（上限2000万）'!$G$15,0,IF($B265&gt;'信用保険料計算書（上限2000万）'!$G$16,0,1)))</f>
        <v>0</v>
      </c>
      <c r="G265" s="209">
        <f>IF(F265=1,HLOOKUP(C265,'計算書（第2回）'!$C$123:$U$124,2,TRUE),0)</f>
        <v>0</v>
      </c>
      <c r="H265" s="209">
        <f>IF('信用保険料計算書（上限2000万）'!$I$15="",0,IF($B265&lt;'信用保険料計算書（上限2000万）'!$I$15,0,IF($B265&gt;'信用保険料計算書（上限2000万）'!$I$16,0,1)))</f>
        <v>0</v>
      </c>
      <c r="I265" s="209">
        <f>IF(H265=1,HLOOKUP(C265,'計算書（第3回）'!$C$123:$U$124,2,TRUE),0)</f>
        <v>0</v>
      </c>
      <c r="J265" s="209">
        <f>IF('信用保険料計算書（上限2000万）'!$K$15="",0,IF($B265&lt;'信用保険料計算書（上限2000万）'!$K$15,0,IF($B265&gt;'信用保険料計算書（上限2000万）'!$K$16,0,1)))</f>
        <v>0</v>
      </c>
      <c r="K265" s="209">
        <f>IF(J265=1,HLOOKUP(C265,'計算書（第4回）'!$C$123:$U$124,2,TRUE),0)</f>
        <v>0</v>
      </c>
      <c r="L265" s="209">
        <f>IF('信用保険料計算書（上限2000万）'!$M$15="",0,IF($B265&lt;'信用保険料計算書（上限2000万）'!$M$15,0,IF($B265&gt;'信用保険料計算書（上限2000万）'!$M$16,0,1)))</f>
        <v>0</v>
      </c>
      <c r="M265" s="209">
        <f>IF(L265=1,HLOOKUP(C265,'計算書（第5回）'!$C$123:$U$124,2,TRUE),0)</f>
        <v>0</v>
      </c>
      <c r="N265" s="209">
        <f>IF('信用保険料計算書（上限2000万）'!$O$15="",0,IF($B265&lt;'信用保険料計算書（上限2000万）'!$O$15,0,IF($B265&gt;'信用保険料計算書（上限2000万）'!$O$16,0,1)))</f>
        <v>0</v>
      </c>
      <c r="O265" s="209">
        <f>IF(N265=1,HLOOKUP(C265,'計算書（第6回）'!$C$123:$U$124,2,TRUE),0)</f>
        <v>0</v>
      </c>
      <c r="P265" s="209">
        <f>IF('信用保険料計算書（上限2000万）'!$Q$15="",0,IF($B265&lt;'信用保険料計算書（上限2000万）'!$Q$15,0,IF($B265&gt;'信用保険料計算書（上限2000万）'!$Q$16,0,1)))</f>
        <v>0</v>
      </c>
      <c r="Q265" s="209">
        <f>IF(P265=1,HLOOKUP(C265,'計算書（第7回）'!$C$123:$U$124,2,TRUE),0)</f>
        <v>0</v>
      </c>
      <c r="R265" s="212"/>
      <c r="S265" s="211">
        <f>COUNTIF($AB$13:$AB$19,"&lt;=2032/2/1")</f>
        <v>2</v>
      </c>
      <c r="T265" s="178">
        <f t="shared" si="30"/>
        <v>44743</v>
      </c>
      <c r="U265" s="181">
        <f t="shared" si="28"/>
        <v>0</v>
      </c>
      <c r="V265" s="182">
        <f t="shared" si="26"/>
        <v>0</v>
      </c>
      <c r="W265" s="245">
        <f t="shared" si="31"/>
        <v>0</v>
      </c>
      <c r="X265" s="182"/>
    </row>
    <row r="266" spans="2:24">
      <c r="B266" s="214">
        <f t="shared" si="29"/>
        <v>48639</v>
      </c>
      <c r="C266" s="198">
        <f t="shared" si="27"/>
        <v>48611</v>
      </c>
      <c r="D266" s="209">
        <f>IF(B266&lt;'信用保険料計算書（上限2000万）'!$E$15,0,IF(B266&gt;'信用保険料計算書（上限2000万）'!$E$16,0,1))</f>
        <v>0</v>
      </c>
      <c r="E266" s="209">
        <f>IF(D266=1,HLOOKUP(C266,'計算書（第1回）'!$C$123:$U$124,2,TRUE),0)</f>
        <v>0</v>
      </c>
      <c r="F266" s="209">
        <f>IF('信用保険料計算書（上限2000万）'!$G$15="",0,IF($B266&lt;'信用保険料計算書（上限2000万）'!$G$15,0,IF($B266&gt;'信用保険料計算書（上限2000万）'!$G$16,0,1)))</f>
        <v>0</v>
      </c>
      <c r="G266" s="209">
        <f>IF(F266=1,HLOOKUP(C266,'計算書（第2回）'!$C$123:$U$124,2,TRUE),0)</f>
        <v>0</v>
      </c>
      <c r="H266" s="209">
        <f>IF('信用保険料計算書（上限2000万）'!$I$15="",0,IF($B266&lt;'信用保険料計算書（上限2000万）'!$I$15,0,IF($B266&gt;'信用保険料計算書（上限2000万）'!$I$16,0,1)))</f>
        <v>0</v>
      </c>
      <c r="I266" s="209">
        <f>IF(H266=1,HLOOKUP(C266,'計算書（第3回）'!$C$123:$U$124,2,TRUE),0)</f>
        <v>0</v>
      </c>
      <c r="J266" s="209">
        <f>IF('信用保険料計算書（上限2000万）'!$K$15="",0,IF($B266&lt;'信用保険料計算書（上限2000万）'!$K$15,0,IF($B266&gt;'信用保険料計算書（上限2000万）'!$K$16,0,1)))</f>
        <v>0</v>
      </c>
      <c r="K266" s="209">
        <f>IF(J266=1,HLOOKUP(C266,'計算書（第4回）'!$C$123:$U$124,2,TRUE),0)</f>
        <v>0</v>
      </c>
      <c r="L266" s="209">
        <f>IF('信用保険料計算書（上限2000万）'!$M$15="",0,IF($B266&lt;'信用保険料計算書（上限2000万）'!$M$15,0,IF($B266&gt;'信用保険料計算書（上限2000万）'!$M$16,0,1)))</f>
        <v>0</v>
      </c>
      <c r="M266" s="209">
        <f>IF(L266=1,HLOOKUP(C266,'計算書（第5回）'!$C$123:$U$124,2,TRUE),0)</f>
        <v>0</v>
      </c>
      <c r="N266" s="209">
        <f>IF('信用保険料計算書（上限2000万）'!$O$15="",0,IF($B266&lt;'信用保険料計算書（上限2000万）'!$O$15,0,IF($B266&gt;'信用保険料計算書（上限2000万）'!$O$16,0,1)))</f>
        <v>0</v>
      </c>
      <c r="O266" s="209">
        <f>IF(N266=1,HLOOKUP(C266,'計算書（第6回）'!$C$123:$U$124,2,TRUE),0)</f>
        <v>0</v>
      </c>
      <c r="P266" s="209">
        <f>IF('信用保険料計算書（上限2000万）'!$Q$15="",0,IF($B266&lt;'信用保険料計算書（上限2000万）'!$Q$15,0,IF($B266&gt;'信用保険料計算書（上限2000万）'!$Q$16,0,1)))</f>
        <v>0</v>
      </c>
      <c r="Q266" s="209">
        <f>IF(P266=1,HLOOKUP(C266,'計算書（第7回）'!$C$123:$U$124,2,TRUE),0)</f>
        <v>0</v>
      </c>
      <c r="R266" s="212"/>
      <c r="S266" s="211">
        <f>COUNTIF($AB$13:$AB$19,"&lt;=2032/3/1")</f>
        <v>2</v>
      </c>
      <c r="T266" s="178">
        <f t="shared" si="30"/>
        <v>44743</v>
      </c>
      <c r="U266" s="181">
        <f t="shared" si="28"/>
        <v>0</v>
      </c>
      <c r="V266" s="182">
        <f t="shared" si="26"/>
        <v>0</v>
      </c>
      <c r="W266" s="245">
        <f t="shared" si="31"/>
        <v>0</v>
      </c>
      <c r="X266" s="183">
        <f>INT(SUM(W261:W266))</f>
        <v>0</v>
      </c>
    </row>
    <row r="267" spans="2:24">
      <c r="B267" s="214">
        <f t="shared" si="29"/>
        <v>48670</v>
      </c>
      <c r="C267" s="198">
        <f t="shared" si="27"/>
        <v>48639</v>
      </c>
      <c r="D267" s="209">
        <f>IF(B267&lt;'信用保険料計算書（上限2000万）'!$E$15,0,IF(B267&gt;'信用保険料計算書（上限2000万）'!$E$16,0,1))</f>
        <v>0</v>
      </c>
      <c r="E267" s="209">
        <f>IF(D267=1,HLOOKUP(C267,'計算書（第1回）'!$C$123:$U$124,2,TRUE),0)</f>
        <v>0</v>
      </c>
      <c r="F267" s="209">
        <f>IF('信用保険料計算書（上限2000万）'!$G$15="",0,IF($B267&lt;'信用保険料計算書（上限2000万）'!$G$15,0,IF($B267&gt;'信用保険料計算書（上限2000万）'!$G$16,0,1)))</f>
        <v>0</v>
      </c>
      <c r="G267" s="209">
        <f>IF(F267=1,HLOOKUP(C267,'計算書（第2回）'!$C$123:$U$124,2,TRUE),0)</f>
        <v>0</v>
      </c>
      <c r="H267" s="209">
        <f>IF('信用保険料計算書（上限2000万）'!$I$15="",0,IF($B267&lt;'信用保険料計算書（上限2000万）'!$I$15,0,IF($B267&gt;'信用保険料計算書（上限2000万）'!$I$16,0,1)))</f>
        <v>0</v>
      </c>
      <c r="I267" s="209">
        <f>IF(H267=1,HLOOKUP(C267,'計算書（第3回）'!$C$123:$U$124,2,TRUE),0)</f>
        <v>0</v>
      </c>
      <c r="J267" s="209">
        <f>IF('信用保険料計算書（上限2000万）'!$K$15="",0,IF($B267&lt;'信用保険料計算書（上限2000万）'!$K$15,0,IF($B267&gt;'信用保険料計算書（上限2000万）'!$K$16,0,1)))</f>
        <v>0</v>
      </c>
      <c r="K267" s="209">
        <f>IF(J267=1,HLOOKUP(C267,'計算書（第4回）'!$C$123:$U$124,2,TRUE),0)</f>
        <v>0</v>
      </c>
      <c r="L267" s="209">
        <f>IF('信用保険料計算書（上限2000万）'!$M$15="",0,IF($B267&lt;'信用保険料計算書（上限2000万）'!$M$15,0,IF($B267&gt;'信用保険料計算書（上限2000万）'!$M$16,0,1)))</f>
        <v>0</v>
      </c>
      <c r="M267" s="209">
        <f>IF(L267=1,HLOOKUP(C267,'計算書（第5回）'!$C$123:$U$124,2,TRUE),0)</f>
        <v>0</v>
      </c>
      <c r="N267" s="209">
        <f>IF('信用保険料計算書（上限2000万）'!$O$15="",0,IF($B267&lt;'信用保険料計算書（上限2000万）'!$O$15,0,IF($B267&gt;'信用保険料計算書（上限2000万）'!$O$16,0,1)))</f>
        <v>0</v>
      </c>
      <c r="O267" s="209">
        <f>IF(N267=1,HLOOKUP(C267,'計算書（第6回）'!$C$123:$U$124,2,TRUE),0)</f>
        <v>0</v>
      </c>
      <c r="P267" s="209">
        <f>IF('信用保険料計算書（上限2000万）'!$Q$15="",0,IF($B267&lt;'信用保険料計算書（上限2000万）'!$Q$15,0,IF($B267&gt;'信用保険料計算書（上限2000万）'!$Q$16,0,1)))</f>
        <v>0</v>
      </c>
      <c r="Q267" s="209">
        <f>IF(P267=1,HLOOKUP(C267,'計算書（第7回）'!$C$123:$U$124,2,TRUE),0)</f>
        <v>0</v>
      </c>
      <c r="R267" s="213"/>
      <c r="S267" s="211">
        <f>COUNTIF($AB$13:$AB$19,"&lt;=2031/4/1")</f>
        <v>2</v>
      </c>
      <c r="T267" s="178">
        <f t="shared" si="30"/>
        <v>44743</v>
      </c>
      <c r="U267" s="181">
        <f t="shared" si="28"/>
        <v>0</v>
      </c>
      <c r="V267" s="182">
        <f t="shared" ref="V267:V278" si="32">IF(U267=0,0,IF(U267&gt;VLOOKUP(T267,$AA$5:$AB$8,2,TRUE),VLOOKUP(T267,$AA$5:$AB$8,2,TRUE),U267))</f>
        <v>0</v>
      </c>
      <c r="W267" s="245">
        <f t="shared" si="31"/>
        <v>0</v>
      </c>
      <c r="X267" s="182"/>
    </row>
    <row r="268" spans="2:24">
      <c r="B268" s="214">
        <f t="shared" si="29"/>
        <v>48700</v>
      </c>
      <c r="C268" s="198">
        <f t="shared" si="27"/>
        <v>48670</v>
      </c>
      <c r="D268" s="209">
        <f>IF(B268&lt;'信用保険料計算書（上限2000万）'!$E$15,0,IF(B268&gt;'信用保険料計算書（上限2000万）'!$E$16,0,1))</f>
        <v>0</v>
      </c>
      <c r="E268" s="209">
        <f>IF(D268=1,HLOOKUP(C268,'計算書（第1回）'!$C$123:$U$124,2,TRUE),0)</f>
        <v>0</v>
      </c>
      <c r="F268" s="209">
        <f>IF('信用保険料計算書（上限2000万）'!$G$15="",0,IF($B268&lt;'信用保険料計算書（上限2000万）'!$G$15,0,IF($B268&gt;'信用保険料計算書（上限2000万）'!$G$16,0,1)))</f>
        <v>0</v>
      </c>
      <c r="G268" s="209">
        <f>IF(F268=1,HLOOKUP(C268,'計算書（第2回）'!$C$123:$U$124,2,TRUE),0)</f>
        <v>0</v>
      </c>
      <c r="H268" s="209">
        <f>IF('信用保険料計算書（上限2000万）'!$I$15="",0,IF($B268&lt;'信用保険料計算書（上限2000万）'!$I$15,0,IF($B268&gt;'信用保険料計算書（上限2000万）'!$I$16,0,1)))</f>
        <v>0</v>
      </c>
      <c r="I268" s="209">
        <f>IF(H268=1,HLOOKUP(C268,'計算書（第3回）'!$C$123:$U$124,2,TRUE),0)</f>
        <v>0</v>
      </c>
      <c r="J268" s="209">
        <f>IF('信用保険料計算書（上限2000万）'!$K$15="",0,IF($B268&lt;'信用保険料計算書（上限2000万）'!$K$15,0,IF($B268&gt;'信用保険料計算書（上限2000万）'!$K$16,0,1)))</f>
        <v>0</v>
      </c>
      <c r="K268" s="209">
        <f>IF(J268=1,HLOOKUP(C268,'計算書（第4回）'!$C$123:$U$124,2,TRUE),0)</f>
        <v>0</v>
      </c>
      <c r="L268" s="209">
        <f>IF('信用保険料計算書（上限2000万）'!$M$15="",0,IF($B268&lt;'信用保険料計算書（上限2000万）'!$M$15,0,IF($B268&gt;'信用保険料計算書（上限2000万）'!$M$16,0,1)))</f>
        <v>0</v>
      </c>
      <c r="M268" s="209">
        <f>IF(L268=1,HLOOKUP(C268,'計算書（第5回）'!$C$123:$U$124,2,TRUE),0)</f>
        <v>0</v>
      </c>
      <c r="N268" s="209">
        <f>IF('信用保険料計算書（上限2000万）'!$O$15="",0,IF($B268&lt;'信用保険料計算書（上限2000万）'!$O$15,0,IF($B268&gt;'信用保険料計算書（上限2000万）'!$O$16,0,1)))</f>
        <v>0</v>
      </c>
      <c r="O268" s="209">
        <f>IF(N268=1,HLOOKUP(C268,'計算書（第6回）'!$C$123:$U$124,2,TRUE),0)</f>
        <v>0</v>
      </c>
      <c r="P268" s="209">
        <f>IF('信用保険料計算書（上限2000万）'!$Q$15="",0,IF($B268&lt;'信用保険料計算書（上限2000万）'!$Q$15,0,IF($B268&gt;'信用保険料計算書（上限2000万）'!$Q$16,0,1)))</f>
        <v>0</v>
      </c>
      <c r="Q268" s="209">
        <f>IF(P268=1,HLOOKUP(C268,'計算書（第7回）'!$C$123:$U$124,2,TRUE),0)</f>
        <v>0</v>
      </c>
      <c r="R268" s="213"/>
      <c r="S268" s="211">
        <f>COUNTIF($AB$13:$AB$19,"&lt;=2031/5/1")</f>
        <v>2</v>
      </c>
      <c r="T268" s="178">
        <f t="shared" si="30"/>
        <v>44743</v>
      </c>
      <c r="U268" s="181">
        <f t="shared" si="28"/>
        <v>0</v>
      </c>
      <c r="V268" s="182">
        <f t="shared" si="32"/>
        <v>0</v>
      </c>
      <c r="W268" s="245">
        <f t="shared" si="31"/>
        <v>0</v>
      </c>
      <c r="X268" s="182"/>
    </row>
    <row r="269" spans="2:24">
      <c r="B269" s="214">
        <f t="shared" si="29"/>
        <v>48731</v>
      </c>
      <c r="C269" s="198">
        <f t="shared" si="27"/>
        <v>48700</v>
      </c>
      <c r="D269" s="209">
        <f>IF(B269&lt;'信用保険料計算書（上限2000万）'!$E$15,0,IF(B269&gt;'信用保険料計算書（上限2000万）'!$E$16,0,1))</f>
        <v>0</v>
      </c>
      <c r="E269" s="209">
        <f>IF(D269=1,HLOOKUP(C269,'計算書（第1回）'!$C$123:$U$124,2,TRUE),0)</f>
        <v>0</v>
      </c>
      <c r="F269" s="209">
        <f>IF('信用保険料計算書（上限2000万）'!$G$15="",0,IF($B269&lt;'信用保険料計算書（上限2000万）'!$G$15,0,IF($B269&gt;'信用保険料計算書（上限2000万）'!$G$16,0,1)))</f>
        <v>0</v>
      </c>
      <c r="G269" s="209">
        <f>IF(F269=1,HLOOKUP(C269,'計算書（第2回）'!$C$123:$U$124,2,TRUE),0)</f>
        <v>0</v>
      </c>
      <c r="H269" s="209">
        <f>IF('信用保険料計算書（上限2000万）'!$I$15="",0,IF($B269&lt;'信用保険料計算書（上限2000万）'!$I$15,0,IF($B269&gt;'信用保険料計算書（上限2000万）'!$I$16,0,1)))</f>
        <v>0</v>
      </c>
      <c r="I269" s="209">
        <f>IF(H269=1,HLOOKUP(C269,'計算書（第3回）'!$C$123:$U$124,2,TRUE),0)</f>
        <v>0</v>
      </c>
      <c r="J269" s="209">
        <f>IF('信用保険料計算書（上限2000万）'!$K$15="",0,IF($B269&lt;'信用保険料計算書（上限2000万）'!$K$15,0,IF($B269&gt;'信用保険料計算書（上限2000万）'!$K$16,0,1)))</f>
        <v>0</v>
      </c>
      <c r="K269" s="209">
        <f>IF(J269=1,HLOOKUP(C269,'計算書（第4回）'!$C$123:$U$124,2,TRUE),0)</f>
        <v>0</v>
      </c>
      <c r="L269" s="209">
        <f>IF('信用保険料計算書（上限2000万）'!$M$15="",0,IF($B269&lt;'信用保険料計算書（上限2000万）'!$M$15,0,IF($B269&gt;'信用保険料計算書（上限2000万）'!$M$16,0,1)))</f>
        <v>0</v>
      </c>
      <c r="M269" s="209">
        <f>IF(L269=1,HLOOKUP(C269,'計算書（第5回）'!$C$123:$U$124,2,TRUE),0)</f>
        <v>0</v>
      </c>
      <c r="N269" s="209">
        <f>IF('信用保険料計算書（上限2000万）'!$O$15="",0,IF($B269&lt;'信用保険料計算書（上限2000万）'!$O$15,0,IF($B269&gt;'信用保険料計算書（上限2000万）'!$O$16,0,1)))</f>
        <v>0</v>
      </c>
      <c r="O269" s="209">
        <f>IF(N269=1,HLOOKUP(C269,'計算書（第6回）'!$C$123:$U$124,2,TRUE),0)</f>
        <v>0</v>
      </c>
      <c r="P269" s="209">
        <f>IF('信用保険料計算書（上限2000万）'!$Q$15="",0,IF($B269&lt;'信用保険料計算書（上限2000万）'!$Q$15,0,IF($B269&gt;'信用保険料計算書（上限2000万）'!$Q$16,0,1)))</f>
        <v>0</v>
      </c>
      <c r="Q269" s="209">
        <f>IF(P269=1,HLOOKUP(C269,'計算書（第7回）'!$C$123:$U$124,2,TRUE),0)</f>
        <v>0</v>
      </c>
      <c r="R269" s="213"/>
      <c r="S269" s="211">
        <f>COUNTIF($AB$13:$AB$19,"&lt;=2031/6/1")</f>
        <v>2</v>
      </c>
      <c r="T269" s="178">
        <f t="shared" si="30"/>
        <v>44743</v>
      </c>
      <c r="U269" s="181">
        <f t="shared" si="28"/>
        <v>0</v>
      </c>
      <c r="V269" s="182">
        <f t="shared" si="32"/>
        <v>0</v>
      </c>
      <c r="W269" s="245">
        <f t="shared" si="31"/>
        <v>0</v>
      </c>
      <c r="X269" s="182"/>
    </row>
    <row r="270" spans="2:24">
      <c r="B270" s="214">
        <f t="shared" si="29"/>
        <v>48761</v>
      </c>
      <c r="C270" s="198">
        <f t="shared" si="27"/>
        <v>48731</v>
      </c>
      <c r="D270" s="209">
        <f>IF(B270&lt;'信用保険料計算書（上限2000万）'!$E$15,0,IF(B270&gt;'信用保険料計算書（上限2000万）'!$E$16,0,1))</f>
        <v>0</v>
      </c>
      <c r="E270" s="209">
        <f>IF(D270=1,HLOOKUP(C270,'計算書（第1回）'!$C$123:$U$124,2,TRUE),0)</f>
        <v>0</v>
      </c>
      <c r="F270" s="209">
        <f>IF('信用保険料計算書（上限2000万）'!$G$15="",0,IF($B270&lt;'信用保険料計算書（上限2000万）'!$G$15,0,IF($B270&gt;'信用保険料計算書（上限2000万）'!$G$16,0,1)))</f>
        <v>0</v>
      </c>
      <c r="G270" s="209">
        <f>IF(F270=1,HLOOKUP(C270,'計算書（第2回）'!$C$123:$U$124,2,TRUE),0)</f>
        <v>0</v>
      </c>
      <c r="H270" s="209">
        <f>IF('信用保険料計算書（上限2000万）'!$I$15="",0,IF($B270&lt;'信用保険料計算書（上限2000万）'!$I$15,0,IF($B270&gt;'信用保険料計算書（上限2000万）'!$I$16,0,1)))</f>
        <v>0</v>
      </c>
      <c r="I270" s="209">
        <f>IF(H270=1,HLOOKUP(C270,'計算書（第3回）'!$C$123:$U$124,2,TRUE),0)</f>
        <v>0</v>
      </c>
      <c r="J270" s="209">
        <f>IF('信用保険料計算書（上限2000万）'!$K$15="",0,IF($B270&lt;'信用保険料計算書（上限2000万）'!$K$15,0,IF($B270&gt;'信用保険料計算書（上限2000万）'!$K$16,0,1)))</f>
        <v>0</v>
      </c>
      <c r="K270" s="209">
        <f>IF(J270=1,HLOOKUP(C270,'計算書（第4回）'!$C$123:$U$124,2,TRUE),0)</f>
        <v>0</v>
      </c>
      <c r="L270" s="209">
        <f>IF('信用保険料計算書（上限2000万）'!$M$15="",0,IF($B270&lt;'信用保険料計算書（上限2000万）'!$M$15,0,IF($B270&gt;'信用保険料計算書（上限2000万）'!$M$16,0,1)))</f>
        <v>0</v>
      </c>
      <c r="M270" s="209">
        <f>IF(L270=1,HLOOKUP(C270,'計算書（第5回）'!$C$123:$U$124,2,TRUE),0)</f>
        <v>0</v>
      </c>
      <c r="N270" s="209">
        <f>IF('信用保険料計算書（上限2000万）'!$O$15="",0,IF($B270&lt;'信用保険料計算書（上限2000万）'!$O$15,0,IF($B270&gt;'信用保険料計算書（上限2000万）'!$O$16,0,1)))</f>
        <v>0</v>
      </c>
      <c r="O270" s="209">
        <f>IF(N270=1,HLOOKUP(C270,'計算書（第6回）'!$C$123:$U$124,2,TRUE),0)</f>
        <v>0</v>
      </c>
      <c r="P270" s="209">
        <f>IF('信用保険料計算書（上限2000万）'!$Q$15="",0,IF($B270&lt;'信用保険料計算書（上限2000万）'!$Q$15,0,IF($B270&gt;'信用保険料計算書（上限2000万）'!$Q$16,0,1)))</f>
        <v>0</v>
      </c>
      <c r="Q270" s="209">
        <f>IF(P270=1,HLOOKUP(C270,'計算書（第7回）'!$C$123:$U$124,2,TRUE),0)</f>
        <v>0</v>
      </c>
      <c r="R270" s="213"/>
      <c r="S270" s="211">
        <f>COUNTIF($AB$13:$AB$19,"&lt;=2031/7/1")</f>
        <v>2</v>
      </c>
      <c r="T270" s="178">
        <f t="shared" si="30"/>
        <v>44743</v>
      </c>
      <c r="U270" s="181">
        <f t="shared" si="28"/>
        <v>0</v>
      </c>
      <c r="V270" s="182">
        <f t="shared" si="32"/>
        <v>0</v>
      </c>
      <c r="W270" s="245">
        <f t="shared" si="31"/>
        <v>0</v>
      </c>
      <c r="X270" s="182"/>
    </row>
    <row r="271" spans="2:24">
      <c r="B271" s="214">
        <f t="shared" si="29"/>
        <v>48792</v>
      </c>
      <c r="C271" s="198">
        <f t="shared" si="27"/>
        <v>48761</v>
      </c>
      <c r="D271" s="209">
        <f>IF(B271&lt;'信用保険料計算書（上限2000万）'!$E$15,0,IF(B271&gt;'信用保険料計算書（上限2000万）'!$E$16,0,1))</f>
        <v>0</v>
      </c>
      <c r="E271" s="209">
        <f>IF(D271=1,HLOOKUP(C271,'計算書（第1回）'!$C$123:$U$124,2,TRUE),0)</f>
        <v>0</v>
      </c>
      <c r="F271" s="209">
        <f>IF('信用保険料計算書（上限2000万）'!$G$15="",0,IF($B271&lt;'信用保険料計算書（上限2000万）'!$G$15,0,IF($B271&gt;'信用保険料計算書（上限2000万）'!$G$16,0,1)))</f>
        <v>0</v>
      </c>
      <c r="G271" s="209">
        <f>IF(F271=1,HLOOKUP(C271,'計算書（第2回）'!$C$123:$U$124,2,TRUE),0)</f>
        <v>0</v>
      </c>
      <c r="H271" s="209">
        <f>IF('信用保険料計算書（上限2000万）'!$I$15="",0,IF($B271&lt;'信用保険料計算書（上限2000万）'!$I$15,0,IF($B271&gt;'信用保険料計算書（上限2000万）'!$I$16,0,1)))</f>
        <v>0</v>
      </c>
      <c r="I271" s="209">
        <f>IF(H271=1,HLOOKUP(C271,'計算書（第3回）'!$C$123:$U$124,2,TRUE),0)</f>
        <v>0</v>
      </c>
      <c r="J271" s="209">
        <f>IF('信用保険料計算書（上限2000万）'!$K$15="",0,IF($B271&lt;'信用保険料計算書（上限2000万）'!$K$15,0,IF($B271&gt;'信用保険料計算書（上限2000万）'!$K$16,0,1)))</f>
        <v>0</v>
      </c>
      <c r="K271" s="209">
        <f>IF(J271=1,HLOOKUP(C271,'計算書（第4回）'!$C$123:$U$124,2,TRUE),0)</f>
        <v>0</v>
      </c>
      <c r="L271" s="209">
        <f>IF('信用保険料計算書（上限2000万）'!$M$15="",0,IF($B271&lt;'信用保険料計算書（上限2000万）'!$M$15,0,IF($B271&gt;'信用保険料計算書（上限2000万）'!$M$16,0,1)))</f>
        <v>0</v>
      </c>
      <c r="M271" s="209">
        <f>IF(L271=1,HLOOKUP(C271,'計算書（第5回）'!$C$123:$U$124,2,TRUE),0)</f>
        <v>0</v>
      </c>
      <c r="N271" s="209">
        <f>IF('信用保険料計算書（上限2000万）'!$O$15="",0,IF($B271&lt;'信用保険料計算書（上限2000万）'!$O$15,0,IF($B271&gt;'信用保険料計算書（上限2000万）'!$O$16,0,1)))</f>
        <v>0</v>
      </c>
      <c r="O271" s="209">
        <f>IF(N271=1,HLOOKUP(C271,'計算書（第6回）'!$C$123:$U$124,2,TRUE),0)</f>
        <v>0</v>
      </c>
      <c r="P271" s="209">
        <f>IF('信用保険料計算書（上限2000万）'!$Q$15="",0,IF($B271&lt;'信用保険料計算書（上限2000万）'!$Q$15,0,IF($B271&gt;'信用保険料計算書（上限2000万）'!$Q$16,0,1)))</f>
        <v>0</v>
      </c>
      <c r="Q271" s="209">
        <f>IF(P271=1,HLOOKUP(C271,'計算書（第7回）'!$C$123:$U$124,2,TRUE),0)</f>
        <v>0</v>
      </c>
      <c r="R271" s="213"/>
      <c r="S271" s="211">
        <f>COUNTIF($AB$13:$AB$19,"&lt;=2031/8/1")</f>
        <v>2</v>
      </c>
      <c r="T271" s="178">
        <f t="shared" si="30"/>
        <v>44743</v>
      </c>
      <c r="U271" s="181">
        <f t="shared" si="28"/>
        <v>0</v>
      </c>
      <c r="V271" s="182">
        <f t="shared" si="32"/>
        <v>0</v>
      </c>
      <c r="W271" s="245">
        <f t="shared" si="31"/>
        <v>0</v>
      </c>
      <c r="X271" s="182"/>
    </row>
    <row r="272" spans="2:24">
      <c r="B272" s="214">
        <f t="shared" si="29"/>
        <v>48823</v>
      </c>
      <c r="C272" s="198">
        <f t="shared" si="27"/>
        <v>48792</v>
      </c>
      <c r="D272" s="209">
        <f>IF(B272&lt;'信用保険料計算書（上限2000万）'!$E$15,0,IF(B272&gt;'信用保険料計算書（上限2000万）'!$E$16,0,1))</f>
        <v>0</v>
      </c>
      <c r="E272" s="209">
        <f>IF(D272=1,HLOOKUP(C272,'計算書（第1回）'!$C$123:$U$124,2,TRUE),0)</f>
        <v>0</v>
      </c>
      <c r="F272" s="209">
        <f>IF('信用保険料計算書（上限2000万）'!$G$15="",0,IF($B272&lt;'信用保険料計算書（上限2000万）'!$G$15,0,IF($B272&gt;'信用保険料計算書（上限2000万）'!$G$16,0,1)))</f>
        <v>0</v>
      </c>
      <c r="G272" s="209">
        <f>IF(F272=1,HLOOKUP(C272,'計算書（第2回）'!$C$123:$U$124,2,TRUE),0)</f>
        <v>0</v>
      </c>
      <c r="H272" s="209">
        <f>IF('信用保険料計算書（上限2000万）'!$I$15="",0,IF($B272&lt;'信用保険料計算書（上限2000万）'!$I$15,0,IF($B272&gt;'信用保険料計算書（上限2000万）'!$I$16,0,1)))</f>
        <v>0</v>
      </c>
      <c r="I272" s="209">
        <f>IF(H272=1,HLOOKUP(C272,'計算書（第3回）'!$C$123:$U$124,2,TRUE),0)</f>
        <v>0</v>
      </c>
      <c r="J272" s="209">
        <f>IF('信用保険料計算書（上限2000万）'!$K$15="",0,IF($B272&lt;'信用保険料計算書（上限2000万）'!$K$15,0,IF($B272&gt;'信用保険料計算書（上限2000万）'!$K$16,0,1)))</f>
        <v>0</v>
      </c>
      <c r="K272" s="209">
        <f>IF(J272=1,HLOOKUP(C272,'計算書（第4回）'!$C$123:$U$124,2,TRUE),0)</f>
        <v>0</v>
      </c>
      <c r="L272" s="209">
        <f>IF('信用保険料計算書（上限2000万）'!$M$15="",0,IF($B272&lt;'信用保険料計算書（上限2000万）'!$M$15,0,IF($B272&gt;'信用保険料計算書（上限2000万）'!$M$16,0,1)))</f>
        <v>0</v>
      </c>
      <c r="M272" s="209">
        <f>IF(L272=1,HLOOKUP(C272,'計算書（第5回）'!$C$123:$U$124,2,TRUE),0)</f>
        <v>0</v>
      </c>
      <c r="N272" s="209">
        <f>IF('信用保険料計算書（上限2000万）'!$O$15="",0,IF($B272&lt;'信用保険料計算書（上限2000万）'!$O$15,0,IF($B272&gt;'信用保険料計算書（上限2000万）'!$O$16,0,1)))</f>
        <v>0</v>
      </c>
      <c r="O272" s="209">
        <f>IF(N272=1,HLOOKUP(C272,'計算書（第6回）'!$C$123:$U$124,2,TRUE),0)</f>
        <v>0</v>
      </c>
      <c r="P272" s="209">
        <f>IF('信用保険料計算書（上限2000万）'!$Q$15="",0,IF($B272&lt;'信用保険料計算書（上限2000万）'!$Q$15,0,IF($B272&gt;'信用保険料計算書（上限2000万）'!$Q$16,0,1)))</f>
        <v>0</v>
      </c>
      <c r="Q272" s="209">
        <f>IF(P272=1,HLOOKUP(C272,'計算書（第7回）'!$C$123:$U$124,2,TRUE),0)</f>
        <v>0</v>
      </c>
      <c r="R272" s="213"/>
      <c r="S272" s="211">
        <f>COUNTIF($AB$13:$AB$19,"&lt;=2031/9/1")</f>
        <v>2</v>
      </c>
      <c r="T272" s="178">
        <f t="shared" si="30"/>
        <v>44743</v>
      </c>
      <c r="U272" s="181">
        <f t="shared" si="28"/>
        <v>0</v>
      </c>
      <c r="V272" s="182">
        <f t="shared" si="32"/>
        <v>0</v>
      </c>
      <c r="W272" s="245">
        <f t="shared" si="31"/>
        <v>0</v>
      </c>
      <c r="X272" s="183">
        <f>INT(SUM(W267:W272))</f>
        <v>0</v>
      </c>
    </row>
    <row r="273" spans="2:24">
      <c r="B273" s="214">
        <f t="shared" si="29"/>
        <v>48853</v>
      </c>
      <c r="C273" s="198">
        <f t="shared" si="27"/>
        <v>48823</v>
      </c>
      <c r="D273" s="209">
        <f>IF(B273&lt;'信用保険料計算書（上限2000万）'!$E$15,0,IF(B273&gt;'信用保険料計算書（上限2000万）'!$E$16,0,1))</f>
        <v>0</v>
      </c>
      <c r="E273" s="209">
        <f>IF(D273=1,HLOOKUP(C273,'計算書（第1回）'!$C$123:$U$124,2,TRUE),0)</f>
        <v>0</v>
      </c>
      <c r="F273" s="209">
        <f>IF('信用保険料計算書（上限2000万）'!$G$15="",0,IF($B273&lt;'信用保険料計算書（上限2000万）'!$G$15,0,IF($B273&gt;'信用保険料計算書（上限2000万）'!$G$16,0,1)))</f>
        <v>0</v>
      </c>
      <c r="G273" s="209">
        <f>IF(F273=1,HLOOKUP(C273,'計算書（第2回）'!$C$123:$U$124,2,TRUE),0)</f>
        <v>0</v>
      </c>
      <c r="H273" s="209">
        <f>IF('信用保険料計算書（上限2000万）'!$I$15="",0,IF($B273&lt;'信用保険料計算書（上限2000万）'!$I$15,0,IF($B273&gt;'信用保険料計算書（上限2000万）'!$I$16,0,1)))</f>
        <v>0</v>
      </c>
      <c r="I273" s="209">
        <f>IF(H273=1,HLOOKUP(C273,'計算書（第3回）'!$C$123:$U$124,2,TRUE),0)</f>
        <v>0</v>
      </c>
      <c r="J273" s="209">
        <f>IF('信用保険料計算書（上限2000万）'!$K$15="",0,IF($B273&lt;'信用保険料計算書（上限2000万）'!$K$15,0,IF($B273&gt;'信用保険料計算書（上限2000万）'!$K$16,0,1)))</f>
        <v>0</v>
      </c>
      <c r="K273" s="209">
        <f>IF(J273=1,HLOOKUP(C273,'計算書（第4回）'!$C$123:$U$124,2,TRUE),0)</f>
        <v>0</v>
      </c>
      <c r="L273" s="209">
        <f>IF('信用保険料計算書（上限2000万）'!$M$15="",0,IF($B273&lt;'信用保険料計算書（上限2000万）'!$M$15,0,IF($B273&gt;'信用保険料計算書（上限2000万）'!$M$16,0,1)))</f>
        <v>0</v>
      </c>
      <c r="M273" s="209">
        <f>IF(L273=1,HLOOKUP(C273,'計算書（第5回）'!$C$123:$U$124,2,TRUE),0)</f>
        <v>0</v>
      </c>
      <c r="N273" s="209">
        <f>IF('信用保険料計算書（上限2000万）'!$O$15="",0,IF($B273&lt;'信用保険料計算書（上限2000万）'!$O$15,0,IF($B273&gt;'信用保険料計算書（上限2000万）'!$O$16,0,1)))</f>
        <v>0</v>
      </c>
      <c r="O273" s="209">
        <f>IF(N273=1,HLOOKUP(C273,'計算書（第6回）'!$C$123:$U$124,2,TRUE),0)</f>
        <v>0</v>
      </c>
      <c r="P273" s="209">
        <f>IF('信用保険料計算書（上限2000万）'!$Q$15="",0,IF($B273&lt;'信用保険料計算書（上限2000万）'!$Q$15,0,IF($B273&gt;'信用保険料計算書（上限2000万）'!$Q$16,0,1)))</f>
        <v>0</v>
      </c>
      <c r="Q273" s="209">
        <f>IF(P273=1,HLOOKUP(C273,'計算書（第7回）'!$C$123:$U$124,2,TRUE),0)</f>
        <v>0</v>
      </c>
      <c r="R273" s="213"/>
      <c r="S273" s="211">
        <f>COUNTIF($AB$13:$AB$19,"&lt;=2031/10/1")</f>
        <v>2</v>
      </c>
      <c r="T273" s="178">
        <f t="shared" si="30"/>
        <v>44743</v>
      </c>
      <c r="U273" s="181">
        <f t="shared" si="28"/>
        <v>0</v>
      </c>
      <c r="V273" s="182">
        <f t="shared" si="32"/>
        <v>0</v>
      </c>
      <c r="W273" s="245">
        <f t="shared" si="31"/>
        <v>0</v>
      </c>
      <c r="X273" s="182"/>
    </row>
    <row r="274" spans="2:24">
      <c r="B274" s="214">
        <f t="shared" si="29"/>
        <v>48884</v>
      </c>
      <c r="C274" s="198">
        <f t="shared" si="27"/>
        <v>48853</v>
      </c>
      <c r="D274" s="209">
        <f>IF(B274&lt;'信用保険料計算書（上限2000万）'!$E$15,0,IF(B274&gt;'信用保険料計算書（上限2000万）'!$E$16,0,1))</f>
        <v>0</v>
      </c>
      <c r="E274" s="209">
        <f>IF(D274=1,HLOOKUP(C274,'計算書（第1回）'!$C$123:$U$124,2,TRUE),0)</f>
        <v>0</v>
      </c>
      <c r="F274" s="209">
        <f>IF('信用保険料計算書（上限2000万）'!$G$15="",0,IF($B274&lt;'信用保険料計算書（上限2000万）'!$G$15,0,IF($B274&gt;'信用保険料計算書（上限2000万）'!$G$16,0,1)))</f>
        <v>0</v>
      </c>
      <c r="G274" s="209">
        <f>IF(F274=1,HLOOKUP(C274,'計算書（第2回）'!$C$123:$U$124,2,TRUE),0)</f>
        <v>0</v>
      </c>
      <c r="H274" s="209">
        <f>IF('信用保険料計算書（上限2000万）'!$I$15="",0,IF($B274&lt;'信用保険料計算書（上限2000万）'!$I$15,0,IF($B274&gt;'信用保険料計算書（上限2000万）'!$I$16,0,1)))</f>
        <v>0</v>
      </c>
      <c r="I274" s="209">
        <f>IF(H274=1,HLOOKUP(C274,'計算書（第3回）'!$C$123:$U$124,2,TRUE),0)</f>
        <v>0</v>
      </c>
      <c r="J274" s="209">
        <f>IF('信用保険料計算書（上限2000万）'!$K$15="",0,IF($B274&lt;'信用保険料計算書（上限2000万）'!$K$15,0,IF($B274&gt;'信用保険料計算書（上限2000万）'!$K$16,0,1)))</f>
        <v>0</v>
      </c>
      <c r="K274" s="209">
        <f>IF(J274=1,HLOOKUP(C274,'計算書（第4回）'!$C$123:$U$124,2,TRUE),0)</f>
        <v>0</v>
      </c>
      <c r="L274" s="209">
        <f>IF('信用保険料計算書（上限2000万）'!$M$15="",0,IF($B274&lt;'信用保険料計算書（上限2000万）'!$M$15,0,IF($B274&gt;'信用保険料計算書（上限2000万）'!$M$16,0,1)))</f>
        <v>0</v>
      </c>
      <c r="M274" s="209">
        <f>IF(L274=1,HLOOKUP(C274,'計算書（第5回）'!$C$123:$U$124,2,TRUE),0)</f>
        <v>0</v>
      </c>
      <c r="N274" s="209">
        <f>IF('信用保険料計算書（上限2000万）'!$O$15="",0,IF($B274&lt;'信用保険料計算書（上限2000万）'!$O$15,0,IF($B274&gt;'信用保険料計算書（上限2000万）'!$O$16,0,1)))</f>
        <v>0</v>
      </c>
      <c r="O274" s="209">
        <f>IF(N274=1,HLOOKUP(C274,'計算書（第6回）'!$C$123:$U$124,2,TRUE),0)</f>
        <v>0</v>
      </c>
      <c r="P274" s="209">
        <f>IF('信用保険料計算書（上限2000万）'!$Q$15="",0,IF($B274&lt;'信用保険料計算書（上限2000万）'!$Q$15,0,IF($B274&gt;'信用保険料計算書（上限2000万）'!$Q$16,0,1)))</f>
        <v>0</v>
      </c>
      <c r="Q274" s="209">
        <f>IF(P274=1,HLOOKUP(C274,'計算書（第7回）'!$C$123:$U$124,2,TRUE),0)</f>
        <v>0</v>
      </c>
      <c r="R274" s="213"/>
      <c r="S274" s="211">
        <f>COUNTIF($AB$13:$AB$19,"&lt;=2031/11/1")</f>
        <v>2</v>
      </c>
      <c r="T274" s="178">
        <f t="shared" si="30"/>
        <v>44743</v>
      </c>
      <c r="U274" s="181">
        <f t="shared" si="28"/>
        <v>0</v>
      </c>
      <c r="V274" s="182">
        <f t="shared" si="32"/>
        <v>0</v>
      </c>
      <c r="W274" s="245">
        <f t="shared" si="31"/>
        <v>0</v>
      </c>
      <c r="X274" s="182"/>
    </row>
    <row r="275" spans="2:24">
      <c r="B275" s="214">
        <f t="shared" si="29"/>
        <v>48914</v>
      </c>
      <c r="C275" s="198">
        <f t="shared" si="27"/>
        <v>48884</v>
      </c>
      <c r="D275" s="209">
        <f>IF(B275&lt;'信用保険料計算書（上限2000万）'!$E$15,0,IF(B275&gt;'信用保険料計算書（上限2000万）'!$E$16,0,1))</f>
        <v>0</v>
      </c>
      <c r="E275" s="209">
        <f>IF(D275=1,HLOOKUP(C275,'計算書（第1回）'!$C$123:$U$124,2,TRUE),0)</f>
        <v>0</v>
      </c>
      <c r="F275" s="209">
        <f>IF('信用保険料計算書（上限2000万）'!$G$15="",0,IF($B275&lt;'信用保険料計算書（上限2000万）'!$G$15,0,IF($B275&gt;'信用保険料計算書（上限2000万）'!$G$16,0,1)))</f>
        <v>0</v>
      </c>
      <c r="G275" s="209">
        <f>IF(F275=1,HLOOKUP(C275,'計算書（第2回）'!$C$123:$U$124,2,TRUE),0)</f>
        <v>0</v>
      </c>
      <c r="H275" s="209">
        <f>IF('信用保険料計算書（上限2000万）'!$I$15="",0,IF($B275&lt;'信用保険料計算書（上限2000万）'!$I$15,0,IF($B275&gt;'信用保険料計算書（上限2000万）'!$I$16,0,1)))</f>
        <v>0</v>
      </c>
      <c r="I275" s="209">
        <f>IF(H275=1,HLOOKUP(C275,'計算書（第3回）'!$C$123:$U$124,2,TRUE),0)</f>
        <v>0</v>
      </c>
      <c r="J275" s="209">
        <f>IF('信用保険料計算書（上限2000万）'!$K$15="",0,IF($B275&lt;'信用保険料計算書（上限2000万）'!$K$15,0,IF($B275&gt;'信用保険料計算書（上限2000万）'!$K$16,0,1)))</f>
        <v>0</v>
      </c>
      <c r="K275" s="209">
        <f>IF(J275=1,HLOOKUP(C275,'計算書（第4回）'!$C$123:$U$124,2,TRUE),0)</f>
        <v>0</v>
      </c>
      <c r="L275" s="209">
        <f>IF('信用保険料計算書（上限2000万）'!$M$15="",0,IF($B275&lt;'信用保険料計算書（上限2000万）'!$M$15,0,IF($B275&gt;'信用保険料計算書（上限2000万）'!$M$16,0,1)))</f>
        <v>0</v>
      </c>
      <c r="M275" s="209">
        <f>IF(L275=1,HLOOKUP(C275,'計算書（第5回）'!$C$123:$U$124,2,TRUE),0)</f>
        <v>0</v>
      </c>
      <c r="N275" s="209">
        <f>IF('信用保険料計算書（上限2000万）'!$O$15="",0,IF($B275&lt;'信用保険料計算書（上限2000万）'!$O$15,0,IF($B275&gt;'信用保険料計算書（上限2000万）'!$O$16,0,1)))</f>
        <v>0</v>
      </c>
      <c r="O275" s="209">
        <f>IF(N275=1,HLOOKUP(C275,'計算書（第6回）'!$C$123:$U$124,2,TRUE),0)</f>
        <v>0</v>
      </c>
      <c r="P275" s="209">
        <f>IF('信用保険料計算書（上限2000万）'!$Q$15="",0,IF($B275&lt;'信用保険料計算書（上限2000万）'!$Q$15,0,IF($B275&gt;'信用保険料計算書（上限2000万）'!$Q$16,0,1)))</f>
        <v>0</v>
      </c>
      <c r="Q275" s="209">
        <f>IF(P275=1,HLOOKUP(C275,'計算書（第7回）'!$C$123:$U$124,2,TRUE),0)</f>
        <v>0</v>
      </c>
      <c r="R275" s="213"/>
      <c r="S275" s="211">
        <f>COUNTIF($AB$13:$AB$19,"&lt;=2031/12/1")</f>
        <v>2</v>
      </c>
      <c r="T275" s="178">
        <f t="shared" si="30"/>
        <v>44743</v>
      </c>
      <c r="U275" s="181">
        <f t="shared" si="28"/>
        <v>0</v>
      </c>
      <c r="V275" s="182">
        <f t="shared" si="32"/>
        <v>0</v>
      </c>
      <c r="W275" s="245">
        <f t="shared" si="31"/>
        <v>0</v>
      </c>
      <c r="X275" s="182"/>
    </row>
    <row r="276" spans="2:24">
      <c r="B276" s="214">
        <f t="shared" si="29"/>
        <v>48945</v>
      </c>
      <c r="C276" s="198">
        <f t="shared" si="27"/>
        <v>48914</v>
      </c>
      <c r="D276" s="209">
        <f>IF(B276&lt;'信用保険料計算書（上限2000万）'!$E$15,0,IF(B276&gt;'信用保険料計算書（上限2000万）'!$E$16,0,1))</f>
        <v>0</v>
      </c>
      <c r="E276" s="209">
        <f>IF(D276=1,HLOOKUP(C276,'計算書（第1回）'!$C$123:$U$124,2,TRUE),0)</f>
        <v>0</v>
      </c>
      <c r="F276" s="209">
        <f>IF('信用保険料計算書（上限2000万）'!$G$15="",0,IF($B276&lt;'信用保険料計算書（上限2000万）'!$G$15,0,IF($B276&gt;'信用保険料計算書（上限2000万）'!$G$16,0,1)))</f>
        <v>0</v>
      </c>
      <c r="G276" s="209">
        <f>IF(F276=1,HLOOKUP(C276,'計算書（第2回）'!$C$123:$U$124,2,TRUE),0)</f>
        <v>0</v>
      </c>
      <c r="H276" s="209">
        <f>IF('信用保険料計算書（上限2000万）'!$I$15="",0,IF($B276&lt;'信用保険料計算書（上限2000万）'!$I$15,0,IF($B276&gt;'信用保険料計算書（上限2000万）'!$I$16,0,1)))</f>
        <v>0</v>
      </c>
      <c r="I276" s="209">
        <f>IF(H276=1,HLOOKUP(C276,'計算書（第3回）'!$C$123:$U$124,2,TRUE),0)</f>
        <v>0</v>
      </c>
      <c r="J276" s="209">
        <f>IF('信用保険料計算書（上限2000万）'!$K$15="",0,IF($B276&lt;'信用保険料計算書（上限2000万）'!$K$15,0,IF($B276&gt;'信用保険料計算書（上限2000万）'!$K$16,0,1)))</f>
        <v>0</v>
      </c>
      <c r="K276" s="209">
        <f>IF(J276=1,HLOOKUP(C276,'計算書（第4回）'!$C$123:$U$124,2,TRUE),0)</f>
        <v>0</v>
      </c>
      <c r="L276" s="209">
        <f>IF('信用保険料計算書（上限2000万）'!$M$15="",0,IF($B276&lt;'信用保険料計算書（上限2000万）'!$M$15,0,IF($B276&gt;'信用保険料計算書（上限2000万）'!$M$16,0,1)))</f>
        <v>0</v>
      </c>
      <c r="M276" s="209">
        <f>IF(L276=1,HLOOKUP(C276,'計算書（第5回）'!$C$123:$U$124,2,TRUE),0)</f>
        <v>0</v>
      </c>
      <c r="N276" s="209">
        <f>IF('信用保険料計算書（上限2000万）'!$O$15="",0,IF($B276&lt;'信用保険料計算書（上限2000万）'!$O$15,0,IF($B276&gt;'信用保険料計算書（上限2000万）'!$O$16,0,1)))</f>
        <v>0</v>
      </c>
      <c r="O276" s="209">
        <f>IF(N276=1,HLOOKUP(C276,'計算書（第6回）'!$C$123:$U$124,2,TRUE),0)</f>
        <v>0</v>
      </c>
      <c r="P276" s="209">
        <f>IF('信用保険料計算書（上限2000万）'!$Q$15="",0,IF($B276&lt;'信用保険料計算書（上限2000万）'!$Q$15,0,IF($B276&gt;'信用保険料計算書（上限2000万）'!$Q$16,0,1)))</f>
        <v>0</v>
      </c>
      <c r="Q276" s="209">
        <f>IF(P276=1,HLOOKUP(C276,'計算書（第7回）'!$C$123:$U$124,2,TRUE),0)</f>
        <v>0</v>
      </c>
      <c r="R276" s="212"/>
      <c r="S276" s="211">
        <f>COUNTIF($AB$13:$AB$19,"&lt;=2032/1/1")</f>
        <v>2</v>
      </c>
      <c r="T276" s="178">
        <f t="shared" si="30"/>
        <v>44743</v>
      </c>
      <c r="U276" s="181">
        <f t="shared" si="28"/>
        <v>0</v>
      </c>
      <c r="V276" s="182">
        <f t="shared" si="32"/>
        <v>0</v>
      </c>
      <c r="W276" s="245">
        <f t="shared" si="31"/>
        <v>0</v>
      </c>
      <c r="X276" s="182"/>
    </row>
    <row r="277" spans="2:24">
      <c r="B277" s="214">
        <f t="shared" si="29"/>
        <v>48976</v>
      </c>
      <c r="C277" s="198">
        <f t="shared" si="27"/>
        <v>48945</v>
      </c>
      <c r="D277" s="209">
        <f>IF(B277&lt;'信用保険料計算書（上限2000万）'!$E$15,0,IF(B277&gt;'信用保険料計算書（上限2000万）'!$E$16,0,1))</f>
        <v>0</v>
      </c>
      <c r="E277" s="209">
        <f>IF(D277=1,HLOOKUP(C277,'計算書（第1回）'!$C$123:$U$124,2,TRUE),0)</f>
        <v>0</v>
      </c>
      <c r="F277" s="209">
        <f>IF('信用保険料計算書（上限2000万）'!$G$15="",0,IF($B277&lt;'信用保険料計算書（上限2000万）'!$G$15,0,IF($B277&gt;'信用保険料計算書（上限2000万）'!$G$16,0,1)))</f>
        <v>0</v>
      </c>
      <c r="G277" s="209">
        <f>IF(F277=1,HLOOKUP(C277,'計算書（第2回）'!$C$123:$U$124,2,TRUE),0)</f>
        <v>0</v>
      </c>
      <c r="H277" s="209">
        <f>IF('信用保険料計算書（上限2000万）'!$I$15="",0,IF($B277&lt;'信用保険料計算書（上限2000万）'!$I$15,0,IF($B277&gt;'信用保険料計算書（上限2000万）'!$I$16,0,1)))</f>
        <v>0</v>
      </c>
      <c r="I277" s="209">
        <f>IF(H277=1,HLOOKUP(C277,'計算書（第3回）'!$C$123:$U$124,2,TRUE),0)</f>
        <v>0</v>
      </c>
      <c r="J277" s="209">
        <f>IF('信用保険料計算書（上限2000万）'!$K$15="",0,IF($B277&lt;'信用保険料計算書（上限2000万）'!$K$15,0,IF($B277&gt;'信用保険料計算書（上限2000万）'!$K$16,0,1)))</f>
        <v>0</v>
      </c>
      <c r="K277" s="209">
        <f>IF(J277=1,HLOOKUP(C277,'計算書（第4回）'!$C$123:$U$124,2,TRUE),0)</f>
        <v>0</v>
      </c>
      <c r="L277" s="209">
        <f>IF('信用保険料計算書（上限2000万）'!$M$15="",0,IF($B277&lt;'信用保険料計算書（上限2000万）'!$M$15,0,IF($B277&gt;'信用保険料計算書（上限2000万）'!$M$16,0,1)))</f>
        <v>0</v>
      </c>
      <c r="M277" s="209">
        <f>IF(L277=1,HLOOKUP(C277,'計算書（第5回）'!$C$123:$U$124,2,TRUE),0)</f>
        <v>0</v>
      </c>
      <c r="N277" s="209">
        <f>IF('信用保険料計算書（上限2000万）'!$O$15="",0,IF($B277&lt;'信用保険料計算書（上限2000万）'!$O$15,0,IF($B277&gt;'信用保険料計算書（上限2000万）'!$O$16,0,1)))</f>
        <v>0</v>
      </c>
      <c r="O277" s="209">
        <f>IF(N277=1,HLOOKUP(C277,'計算書（第6回）'!$C$123:$U$124,2,TRUE),0)</f>
        <v>0</v>
      </c>
      <c r="P277" s="209">
        <f>IF('信用保険料計算書（上限2000万）'!$Q$15="",0,IF($B277&lt;'信用保険料計算書（上限2000万）'!$Q$15,0,IF($B277&gt;'信用保険料計算書（上限2000万）'!$Q$16,0,1)))</f>
        <v>0</v>
      </c>
      <c r="Q277" s="209">
        <f>IF(P277=1,HLOOKUP(C277,'計算書（第7回）'!$C$123:$U$124,2,TRUE),0)</f>
        <v>0</v>
      </c>
      <c r="R277" s="212"/>
      <c r="S277" s="211">
        <f>COUNTIF($AB$13:$AB$19,"&lt;=2032/2/1")</f>
        <v>2</v>
      </c>
      <c r="T277" s="178">
        <f t="shared" si="30"/>
        <v>44743</v>
      </c>
      <c r="U277" s="181">
        <f t="shared" si="28"/>
        <v>0</v>
      </c>
      <c r="V277" s="182">
        <f t="shared" si="32"/>
        <v>0</v>
      </c>
      <c r="W277" s="245">
        <f t="shared" si="31"/>
        <v>0</v>
      </c>
      <c r="X277" s="182"/>
    </row>
    <row r="278" spans="2:24">
      <c r="B278" s="214">
        <f t="shared" si="29"/>
        <v>49004</v>
      </c>
      <c r="C278" s="198">
        <f t="shared" si="27"/>
        <v>48976</v>
      </c>
      <c r="D278" s="209">
        <f>IF(B278&lt;'信用保険料計算書（上限2000万）'!$E$15,0,IF(B278&gt;'信用保険料計算書（上限2000万）'!$E$16,0,1))</f>
        <v>0</v>
      </c>
      <c r="E278" s="209">
        <f>IF(D278=1,HLOOKUP(C278,'計算書（第1回）'!$C$123:$U$124,2,TRUE),0)</f>
        <v>0</v>
      </c>
      <c r="F278" s="209">
        <f>IF('信用保険料計算書（上限2000万）'!$G$15="",0,IF($B278&lt;'信用保険料計算書（上限2000万）'!$G$15,0,IF($B278&gt;'信用保険料計算書（上限2000万）'!$G$16,0,1)))</f>
        <v>0</v>
      </c>
      <c r="G278" s="209">
        <f>IF(F278=1,HLOOKUP(C278,'計算書（第2回）'!$C$123:$U$124,2,TRUE),0)</f>
        <v>0</v>
      </c>
      <c r="H278" s="209">
        <f>IF('信用保険料計算書（上限2000万）'!$I$15="",0,IF($B278&lt;'信用保険料計算書（上限2000万）'!$I$15,0,IF($B278&gt;'信用保険料計算書（上限2000万）'!$I$16,0,1)))</f>
        <v>0</v>
      </c>
      <c r="I278" s="209">
        <f>IF(H278=1,HLOOKUP(C278,'計算書（第3回）'!$C$123:$U$124,2,TRUE),0)</f>
        <v>0</v>
      </c>
      <c r="J278" s="209">
        <f>IF('信用保険料計算書（上限2000万）'!$K$15="",0,IF($B278&lt;'信用保険料計算書（上限2000万）'!$K$15,0,IF($B278&gt;'信用保険料計算書（上限2000万）'!$K$16,0,1)))</f>
        <v>0</v>
      </c>
      <c r="K278" s="209">
        <f>IF(J278=1,HLOOKUP(C278,'計算書（第4回）'!$C$123:$U$124,2,TRUE),0)</f>
        <v>0</v>
      </c>
      <c r="L278" s="209">
        <f>IF('信用保険料計算書（上限2000万）'!$M$15="",0,IF($B278&lt;'信用保険料計算書（上限2000万）'!$M$15,0,IF($B278&gt;'信用保険料計算書（上限2000万）'!$M$16,0,1)))</f>
        <v>0</v>
      </c>
      <c r="M278" s="209">
        <f>IF(L278=1,HLOOKUP(C278,'計算書（第5回）'!$C$123:$U$124,2,TRUE),0)</f>
        <v>0</v>
      </c>
      <c r="N278" s="209">
        <f>IF('信用保険料計算書（上限2000万）'!$O$15="",0,IF($B278&lt;'信用保険料計算書（上限2000万）'!$O$15,0,IF($B278&gt;'信用保険料計算書（上限2000万）'!$O$16,0,1)))</f>
        <v>0</v>
      </c>
      <c r="O278" s="209">
        <f>IF(N278=1,HLOOKUP(C278,'計算書（第6回）'!$C$123:$U$124,2,TRUE),0)</f>
        <v>0</v>
      </c>
      <c r="P278" s="209">
        <f>IF('信用保険料計算書（上限2000万）'!$Q$15="",0,IF($B278&lt;'信用保険料計算書（上限2000万）'!$Q$15,0,IF($B278&gt;'信用保険料計算書（上限2000万）'!$Q$16,0,1)))</f>
        <v>0</v>
      </c>
      <c r="Q278" s="209">
        <f>IF(P278=1,HLOOKUP(C278,'計算書（第7回）'!$C$123:$U$124,2,TRUE),0)</f>
        <v>0</v>
      </c>
      <c r="R278" s="212"/>
      <c r="S278" s="211">
        <f>COUNTIF($AB$13:$AB$19,"&lt;=2032/3/1")</f>
        <v>2</v>
      </c>
      <c r="T278" s="178">
        <f t="shared" si="30"/>
        <v>44743</v>
      </c>
      <c r="U278" s="181">
        <f t="shared" si="28"/>
        <v>0</v>
      </c>
      <c r="V278" s="182">
        <f t="shared" si="32"/>
        <v>0</v>
      </c>
      <c r="W278" s="245">
        <f t="shared" si="31"/>
        <v>0</v>
      </c>
      <c r="X278" s="183">
        <f>INT(SUM(W273:W278))</f>
        <v>0</v>
      </c>
    </row>
    <row r="279" spans="2:24">
      <c r="B279" s="214">
        <f t="shared" si="29"/>
        <v>49035</v>
      </c>
      <c r="C279" s="198">
        <f t="shared" si="27"/>
        <v>49004</v>
      </c>
      <c r="D279" s="209">
        <f>IF(B279&lt;'信用保険料計算書（上限2000万）'!$E$15,0,IF(B279&gt;'信用保険料計算書（上限2000万）'!$E$16,0,1))</f>
        <v>0</v>
      </c>
      <c r="E279" s="209">
        <f>IF(D279=1,HLOOKUP(C279,'計算書（第1回）'!$C$123:$U$124,2,TRUE),0)</f>
        <v>0</v>
      </c>
      <c r="F279" s="209">
        <f>IF('信用保険料計算書（上限2000万）'!$G$15="",0,IF($B279&lt;'信用保険料計算書（上限2000万）'!$G$15,0,IF($B279&gt;'信用保険料計算書（上限2000万）'!$G$16,0,1)))</f>
        <v>0</v>
      </c>
      <c r="G279" s="209">
        <f>IF(F279=1,HLOOKUP(C279,'計算書（第2回）'!$C$123:$U$124,2,TRUE),0)</f>
        <v>0</v>
      </c>
      <c r="H279" s="209">
        <f>IF('信用保険料計算書（上限2000万）'!$I$15="",0,IF($B279&lt;'信用保険料計算書（上限2000万）'!$I$15,0,IF($B279&gt;'信用保険料計算書（上限2000万）'!$I$16,0,1)))</f>
        <v>0</v>
      </c>
      <c r="I279" s="209">
        <f>IF(H279=1,HLOOKUP(C279,'計算書（第3回）'!$C$123:$U$124,2,TRUE),0)</f>
        <v>0</v>
      </c>
      <c r="J279" s="209">
        <f>IF('信用保険料計算書（上限2000万）'!$K$15="",0,IF($B279&lt;'信用保険料計算書（上限2000万）'!$K$15,0,IF($B279&gt;'信用保険料計算書（上限2000万）'!$K$16,0,1)))</f>
        <v>0</v>
      </c>
      <c r="K279" s="209">
        <f>IF(J279=1,HLOOKUP(C279,'計算書（第4回）'!$C$123:$U$124,2,TRUE),0)</f>
        <v>0</v>
      </c>
      <c r="L279" s="209">
        <f>IF('信用保険料計算書（上限2000万）'!$M$15="",0,IF($B279&lt;'信用保険料計算書（上限2000万）'!$M$15,0,IF($B279&gt;'信用保険料計算書（上限2000万）'!$M$16,0,1)))</f>
        <v>0</v>
      </c>
      <c r="M279" s="209">
        <f>IF(L279=1,HLOOKUP(C279,'計算書（第5回）'!$C$123:$U$124,2,TRUE),0)</f>
        <v>0</v>
      </c>
      <c r="N279" s="209">
        <f>IF('信用保険料計算書（上限2000万）'!$O$15="",0,IF($B279&lt;'信用保険料計算書（上限2000万）'!$O$15,0,IF($B279&gt;'信用保険料計算書（上限2000万）'!$O$16,0,1)))</f>
        <v>0</v>
      </c>
      <c r="O279" s="209">
        <f>IF(N279=1,HLOOKUP(C279,'計算書（第6回）'!$C$123:$U$124,2,TRUE),0)</f>
        <v>0</v>
      </c>
      <c r="P279" s="209">
        <f>IF('信用保険料計算書（上限2000万）'!$Q$15="",0,IF($B279&lt;'信用保険料計算書（上限2000万）'!$Q$15,0,IF($B279&gt;'信用保険料計算書（上限2000万）'!$Q$16,0,1)))</f>
        <v>0</v>
      </c>
      <c r="Q279" s="209">
        <f>IF(P279=1,HLOOKUP(C279,'計算書（第7回）'!$C$123:$U$124,2,TRUE),0)</f>
        <v>0</v>
      </c>
      <c r="R279" s="213"/>
      <c r="S279" s="211">
        <f>COUNTIF($AB$13:$AB$19,"&lt;=2031/4/1")</f>
        <v>2</v>
      </c>
      <c r="T279" s="178">
        <f t="shared" si="30"/>
        <v>44743</v>
      </c>
      <c r="U279" s="181">
        <f t="shared" si="28"/>
        <v>0</v>
      </c>
      <c r="V279" s="182">
        <f t="shared" ref="V279:V290" si="33">IF(U279=0,0,IF(U279&gt;VLOOKUP(T279,$AA$5:$AB$8,2,TRUE),VLOOKUP(T279,$AA$5:$AB$8,2,TRUE),U279))</f>
        <v>0</v>
      </c>
      <c r="W279" s="245">
        <f t="shared" si="31"/>
        <v>0</v>
      </c>
      <c r="X279" s="182"/>
    </row>
    <row r="280" spans="2:24">
      <c r="B280" s="214">
        <f t="shared" si="29"/>
        <v>49065</v>
      </c>
      <c r="C280" s="198">
        <f t="shared" si="27"/>
        <v>49035</v>
      </c>
      <c r="D280" s="209">
        <f>IF(B280&lt;'信用保険料計算書（上限2000万）'!$E$15,0,IF(B280&gt;'信用保険料計算書（上限2000万）'!$E$16,0,1))</f>
        <v>0</v>
      </c>
      <c r="E280" s="209">
        <f>IF(D280=1,HLOOKUP(C280,'計算書（第1回）'!$C$123:$U$124,2,TRUE),0)</f>
        <v>0</v>
      </c>
      <c r="F280" s="209">
        <f>IF('信用保険料計算書（上限2000万）'!$G$15="",0,IF($B280&lt;'信用保険料計算書（上限2000万）'!$G$15,0,IF($B280&gt;'信用保険料計算書（上限2000万）'!$G$16,0,1)))</f>
        <v>0</v>
      </c>
      <c r="G280" s="209">
        <f>IF(F280=1,HLOOKUP(C280,'計算書（第2回）'!$C$123:$U$124,2,TRUE),0)</f>
        <v>0</v>
      </c>
      <c r="H280" s="209">
        <f>IF('信用保険料計算書（上限2000万）'!$I$15="",0,IF($B280&lt;'信用保険料計算書（上限2000万）'!$I$15,0,IF($B280&gt;'信用保険料計算書（上限2000万）'!$I$16,0,1)))</f>
        <v>0</v>
      </c>
      <c r="I280" s="209">
        <f>IF(H280=1,HLOOKUP(C280,'計算書（第3回）'!$C$123:$U$124,2,TRUE),0)</f>
        <v>0</v>
      </c>
      <c r="J280" s="209">
        <f>IF('信用保険料計算書（上限2000万）'!$K$15="",0,IF($B280&lt;'信用保険料計算書（上限2000万）'!$K$15,0,IF($B280&gt;'信用保険料計算書（上限2000万）'!$K$16,0,1)))</f>
        <v>0</v>
      </c>
      <c r="K280" s="209">
        <f>IF(J280=1,HLOOKUP(C280,'計算書（第4回）'!$C$123:$U$124,2,TRUE),0)</f>
        <v>0</v>
      </c>
      <c r="L280" s="209">
        <f>IF('信用保険料計算書（上限2000万）'!$M$15="",0,IF($B280&lt;'信用保険料計算書（上限2000万）'!$M$15,0,IF($B280&gt;'信用保険料計算書（上限2000万）'!$M$16,0,1)))</f>
        <v>0</v>
      </c>
      <c r="M280" s="209">
        <f>IF(L280=1,HLOOKUP(C280,'計算書（第5回）'!$C$123:$U$124,2,TRUE),0)</f>
        <v>0</v>
      </c>
      <c r="N280" s="209">
        <f>IF('信用保険料計算書（上限2000万）'!$O$15="",0,IF($B280&lt;'信用保険料計算書（上限2000万）'!$O$15,0,IF($B280&gt;'信用保険料計算書（上限2000万）'!$O$16,0,1)))</f>
        <v>0</v>
      </c>
      <c r="O280" s="209">
        <f>IF(N280=1,HLOOKUP(C280,'計算書（第6回）'!$C$123:$U$124,2,TRUE),0)</f>
        <v>0</v>
      </c>
      <c r="P280" s="209">
        <f>IF('信用保険料計算書（上限2000万）'!$Q$15="",0,IF($B280&lt;'信用保険料計算書（上限2000万）'!$Q$15,0,IF($B280&gt;'信用保険料計算書（上限2000万）'!$Q$16,0,1)))</f>
        <v>0</v>
      </c>
      <c r="Q280" s="209">
        <f>IF(P280=1,HLOOKUP(C280,'計算書（第7回）'!$C$123:$U$124,2,TRUE),0)</f>
        <v>0</v>
      </c>
      <c r="R280" s="213"/>
      <c r="S280" s="211">
        <f>COUNTIF($AB$13:$AB$19,"&lt;=2031/5/1")</f>
        <v>2</v>
      </c>
      <c r="T280" s="178">
        <f t="shared" si="30"/>
        <v>44743</v>
      </c>
      <c r="U280" s="181">
        <f t="shared" si="28"/>
        <v>0</v>
      </c>
      <c r="V280" s="182">
        <f t="shared" si="33"/>
        <v>0</v>
      </c>
      <c r="W280" s="245">
        <f t="shared" si="31"/>
        <v>0</v>
      </c>
      <c r="X280" s="182"/>
    </row>
    <row r="281" spans="2:24">
      <c r="B281" s="214">
        <f t="shared" si="29"/>
        <v>49096</v>
      </c>
      <c r="C281" s="198">
        <f t="shared" si="27"/>
        <v>49065</v>
      </c>
      <c r="D281" s="209">
        <f>IF(B281&lt;'信用保険料計算書（上限2000万）'!$E$15,0,IF(B281&gt;'信用保険料計算書（上限2000万）'!$E$16,0,1))</f>
        <v>0</v>
      </c>
      <c r="E281" s="209">
        <f>IF(D281=1,HLOOKUP(C281,'計算書（第1回）'!$C$123:$U$124,2,TRUE),0)</f>
        <v>0</v>
      </c>
      <c r="F281" s="209">
        <f>IF('信用保険料計算書（上限2000万）'!$G$15="",0,IF($B281&lt;'信用保険料計算書（上限2000万）'!$G$15,0,IF($B281&gt;'信用保険料計算書（上限2000万）'!$G$16,0,1)))</f>
        <v>0</v>
      </c>
      <c r="G281" s="209">
        <f>IF(F281=1,HLOOKUP(C281,'計算書（第2回）'!$C$123:$U$124,2,TRUE),0)</f>
        <v>0</v>
      </c>
      <c r="H281" s="209">
        <f>IF('信用保険料計算書（上限2000万）'!$I$15="",0,IF($B281&lt;'信用保険料計算書（上限2000万）'!$I$15,0,IF($B281&gt;'信用保険料計算書（上限2000万）'!$I$16,0,1)))</f>
        <v>0</v>
      </c>
      <c r="I281" s="209">
        <f>IF(H281=1,HLOOKUP(C281,'計算書（第3回）'!$C$123:$U$124,2,TRUE),0)</f>
        <v>0</v>
      </c>
      <c r="J281" s="209">
        <f>IF('信用保険料計算書（上限2000万）'!$K$15="",0,IF($B281&lt;'信用保険料計算書（上限2000万）'!$K$15,0,IF($B281&gt;'信用保険料計算書（上限2000万）'!$K$16,0,1)))</f>
        <v>0</v>
      </c>
      <c r="K281" s="209">
        <f>IF(J281=1,HLOOKUP(C281,'計算書（第4回）'!$C$123:$U$124,2,TRUE),0)</f>
        <v>0</v>
      </c>
      <c r="L281" s="209">
        <f>IF('信用保険料計算書（上限2000万）'!$M$15="",0,IF($B281&lt;'信用保険料計算書（上限2000万）'!$M$15,0,IF($B281&gt;'信用保険料計算書（上限2000万）'!$M$16,0,1)))</f>
        <v>0</v>
      </c>
      <c r="M281" s="209">
        <f>IF(L281=1,HLOOKUP(C281,'計算書（第5回）'!$C$123:$U$124,2,TRUE),0)</f>
        <v>0</v>
      </c>
      <c r="N281" s="209">
        <f>IF('信用保険料計算書（上限2000万）'!$O$15="",0,IF($B281&lt;'信用保険料計算書（上限2000万）'!$O$15,0,IF($B281&gt;'信用保険料計算書（上限2000万）'!$O$16,0,1)))</f>
        <v>0</v>
      </c>
      <c r="O281" s="209">
        <f>IF(N281=1,HLOOKUP(C281,'計算書（第6回）'!$C$123:$U$124,2,TRUE),0)</f>
        <v>0</v>
      </c>
      <c r="P281" s="209">
        <f>IF('信用保険料計算書（上限2000万）'!$Q$15="",0,IF($B281&lt;'信用保険料計算書（上限2000万）'!$Q$15,0,IF($B281&gt;'信用保険料計算書（上限2000万）'!$Q$16,0,1)))</f>
        <v>0</v>
      </c>
      <c r="Q281" s="209">
        <f>IF(P281=1,HLOOKUP(C281,'計算書（第7回）'!$C$123:$U$124,2,TRUE),0)</f>
        <v>0</v>
      </c>
      <c r="R281" s="213"/>
      <c r="S281" s="211">
        <f>COUNTIF($AB$13:$AB$19,"&lt;=2031/6/1")</f>
        <v>2</v>
      </c>
      <c r="T281" s="178">
        <f t="shared" si="30"/>
        <v>44743</v>
      </c>
      <c r="U281" s="181">
        <f t="shared" si="28"/>
        <v>0</v>
      </c>
      <c r="V281" s="182">
        <f t="shared" si="33"/>
        <v>0</v>
      </c>
      <c r="W281" s="245">
        <f t="shared" si="31"/>
        <v>0</v>
      </c>
      <c r="X281" s="182"/>
    </row>
    <row r="282" spans="2:24">
      <c r="B282" s="214">
        <f t="shared" si="29"/>
        <v>49126</v>
      </c>
      <c r="C282" s="198">
        <f t="shared" si="27"/>
        <v>49096</v>
      </c>
      <c r="D282" s="209">
        <f>IF(B282&lt;'信用保険料計算書（上限2000万）'!$E$15,0,IF(B282&gt;'信用保険料計算書（上限2000万）'!$E$16,0,1))</f>
        <v>0</v>
      </c>
      <c r="E282" s="209">
        <f>IF(D282=1,HLOOKUP(C282,'計算書（第1回）'!$C$123:$U$124,2,TRUE),0)</f>
        <v>0</v>
      </c>
      <c r="F282" s="209">
        <f>IF('信用保険料計算書（上限2000万）'!$G$15="",0,IF($B282&lt;'信用保険料計算書（上限2000万）'!$G$15,0,IF($B282&gt;'信用保険料計算書（上限2000万）'!$G$16,0,1)))</f>
        <v>0</v>
      </c>
      <c r="G282" s="209">
        <f>IF(F282=1,HLOOKUP(C282,'計算書（第2回）'!$C$123:$U$124,2,TRUE),0)</f>
        <v>0</v>
      </c>
      <c r="H282" s="209">
        <f>IF('信用保険料計算書（上限2000万）'!$I$15="",0,IF($B282&lt;'信用保険料計算書（上限2000万）'!$I$15,0,IF($B282&gt;'信用保険料計算書（上限2000万）'!$I$16,0,1)))</f>
        <v>0</v>
      </c>
      <c r="I282" s="209">
        <f>IF(H282=1,HLOOKUP(C282,'計算書（第3回）'!$C$123:$U$124,2,TRUE),0)</f>
        <v>0</v>
      </c>
      <c r="J282" s="209">
        <f>IF('信用保険料計算書（上限2000万）'!$K$15="",0,IF($B282&lt;'信用保険料計算書（上限2000万）'!$K$15,0,IF($B282&gt;'信用保険料計算書（上限2000万）'!$K$16,0,1)))</f>
        <v>0</v>
      </c>
      <c r="K282" s="209">
        <f>IF(J282=1,HLOOKUP(C282,'計算書（第4回）'!$C$123:$U$124,2,TRUE),0)</f>
        <v>0</v>
      </c>
      <c r="L282" s="209">
        <f>IF('信用保険料計算書（上限2000万）'!$M$15="",0,IF($B282&lt;'信用保険料計算書（上限2000万）'!$M$15,0,IF($B282&gt;'信用保険料計算書（上限2000万）'!$M$16,0,1)))</f>
        <v>0</v>
      </c>
      <c r="M282" s="209">
        <f>IF(L282=1,HLOOKUP(C282,'計算書（第5回）'!$C$123:$U$124,2,TRUE),0)</f>
        <v>0</v>
      </c>
      <c r="N282" s="209">
        <f>IF('信用保険料計算書（上限2000万）'!$O$15="",0,IF($B282&lt;'信用保険料計算書（上限2000万）'!$O$15,0,IF($B282&gt;'信用保険料計算書（上限2000万）'!$O$16,0,1)))</f>
        <v>0</v>
      </c>
      <c r="O282" s="209">
        <f>IF(N282=1,HLOOKUP(C282,'計算書（第6回）'!$C$123:$U$124,2,TRUE),0)</f>
        <v>0</v>
      </c>
      <c r="P282" s="209">
        <f>IF('信用保険料計算書（上限2000万）'!$Q$15="",0,IF($B282&lt;'信用保険料計算書（上限2000万）'!$Q$15,0,IF($B282&gt;'信用保険料計算書（上限2000万）'!$Q$16,0,1)))</f>
        <v>0</v>
      </c>
      <c r="Q282" s="209">
        <f>IF(P282=1,HLOOKUP(C282,'計算書（第7回）'!$C$123:$U$124,2,TRUE),0)</f>
        <v>0</v>
      </c>
      <c r="R282" s="213"/>
      <c r="S282" s="211">
        <f>COUNTIF($AB$13:$AB$19,"&lt;=2031/7/1")</f>
        <v>2</v>
      </c>
      <c r="T282" s="178">
        <f t="shared" si="30"/>
        <v>44743</v>
      </c>
      <c r="U282" s="181">
        <f t="shared" si="28"/>
        <v>0</v>
      </c>
      <c r="V282" s="182">
        <f t="shared" si="33"/>
        <v>0</v>
      </c>
      <c r="W282" s="245">
        <f t="shared" si="31"/>
        <v>0</v>
      </c>
      <c r="X282" s="182"/>
    </row>
    <row r="283" spans="2:24">
      <c r="B283" s="214">
        <f t="shared" si="29"/>
        <v>49157</v>
      </c>
      <c r="C283" s="198">
        <f t="shared" si="27"/>
        <v>49126</v>
      </c>
      <c r="D283" s="209">
        <f>IF(B283&lt;'信用保険料計算書（上限2000万）'!$E$15,0,IF(B283&gt;'信用保険料計算書（上限2000万）'!$E$16,0,1))</f>
        <v>0</v>
      </c>
      <c r="E283" s="209">
        <f>IF(D283=1,HLOOKUP(C283,'計算書（第1回）'!$C$123:$U$124,2,TRUE),0)</f>
        <v>0</v>
      </c>
      <c r="F283" s="209">
        <f>IF('信用保険料計算書（上限2000万）'!$G$15="",0,IF($B283&lt;'信用保険料計算書（上限2000万）'!$G$15,0,IF($B283&gt;'信用保険料計算書（上限2000万）'!$G$16,0,1)))</f>
        <v>0</v>
      </c>
      <c r="G283" s="209">
        <f>IF(F283=1,HLOOKUP(C283,'計算書（第2回）'!$C$123:$U$124,2,TRUE),0)</f>
        <v>0</v>
      </c>
      <c r="H283" s="209">
        <f>IF('信用保険料計算書（上限2000万）'!$I$15="",0,IF($B283&lt;'信用保険料計算書（上限2000万）'!$I$15,0,IF($B283&gt;'信用保険料計算書（上限2000万）'!$I$16,0,1)))</f>
        <v>0</v>
      </c>
      <c r="I283" s="209">
        <f>IF(H283=1,HLOOKUP(C283,'計算書（第3回）'!$C$123:$U$124,2,TRUE),0)</f>
        <v>0</v>
      </c>
      <c r="J283" s="209">
        <f>IF('信用保険料計算書（上限2000万）'!$K$15="",0,IF($B283&lt;'信用保険料計算書（上限2000万）'!$K$15,0,IF($B283&gt;'信用保険料計算書（上限2000万）'!$K$16,0,1)))</f>
        <v>0</v>
      </c>
      <c r="K283" s="209">
        <f>IF(J283=1,HLOOKUP(C283,'計算書（第4回）'!$C$123:$U$124,2,TRUE),0)</f>
        <v>0</v>
      </c>
      <c r="L283" s="209">
        <f>IF('信用保険料計算書（上限2000万）'!$M$15="",0,IF($B283&lt;'信用保険料計算書（上限2000万）'!$M$15,0,IF($B283&gt;'信用保険料計算書（上限2000万）'!$M$16,0,1)))</f>
        <v>0</v>
      </c>
      <c r="M283" s="209">
        <f>IF(L283=1,HLOOKUP(C283,'計算書（第5回）'!$C$123:$U$124,2,TRUE),0)</f>
        <v>0</v>
      </c>
      <c r="N283" s="209">
        <f>IF('信用保険料計算書（上限2000万）'!$O$15="",0,IF($B283&lt;'信用保険料計算書（上限2000万）'!$O$15,0,IF($B283&gt;'信用保険料計算書（上限2000万）'!$O$16,0,1)))</f>
        <v>0</v>
      </c>
      <c r="O283" s="209">
        <f>IF(N283=1,HLOOKUP(C283,'計算書（第6回）'!$C$123:$U$124,2,TRUE),0)</f>
        <v>0</v>
      </c>
      <c r="P283" s="209">
        <f>IF('信用保険料計算書（上限2000万）'!$Q$15="",0,IF($B283&lt;'信用保険料計算書（上限2000万）'!$Q$15,0,IF($B283&gt;'信用保険料計算書（上限2000万）'!$Q$16,0,1)))</f>
        <v>0</v>
      </c>
      <c r="Q283" s="209">
        <f>IF(P283=1,HLOOKUP(C283,'計算書（第7回）'!$C$123:$U$124,2,TRUE),0)</f>
        <v>0</v>
      </c>
      <c r="R283" s="213"/>
      <c r="S283" s="211">
        <f>COUNTIF($AB$13:$AB$19,"&lt;=2031/8/1")</f>
        <v>2</v>
      </c>
      <c r="T283" s="178">
        <f t="shared" si="30"/>
        <v>44743</v>
      </c>
      <c r="U283" s="181">
        <f t="shared" si="28"/>
        <v>0</v>
      </c>
      <c r="V283" s="182">
        <f t="shared" si="33"/>
        <v>0</v>
      </c>
      <c r="W283" s="245">
        <f t="shared" si="31"/>
        <v>0</v>
      </c>
      <c r="X283" s="182"/>
    </row>
    <row r="284" spans="2:24">
      <c r="B284" s="214">
        <f t="shared" si="29"/>
        <v>49188</v>
      </c>
      <c r="C284" s="198">
        <f t="shared" si="27"/>
        <v>49157</v>
      </c>
      <c r="D284" s="209">
        <f>IF(B284&lt;'信用保険料計算書（上限2000万）'!$E$15,0,IF(B284&gt;'信用保険料計算書（上限2000万）'!$E$16,0,1))</f>
        <v>0</v>
      </c>
      <c r="E284" s="209">
        <f>IF(D284=1,HLOOKUP(C284,'計算書（第1回）'!$C$123:$U$124,2,TRUE),0)</f>
        <v>0</v>
      </c>
      <c r="F284" s="209">
        <f>IF('信用保険料計算書（上限2000万）'!$G$15="",0,IF($B284&lt;'信用保険料計算書（上限2000万）'!$G$15,0,IF($B284&gt;'信用保険料計算書（上限2000万）'!$G$16,0,1)))</f>
        <v>0</v>
      </c>
      <c r="G284" s="209">
        <f>IF(F284=1,HLOOKUP(C284,'計算書（第2回）'!$C$123:$U$124,2,TRUE),0)</f>
        <v>0</v>
      </c>
      <c r="H284" s="209">
        <f>IF('信用保険料計算書（上限2000万）'!$I$15="",0,IF($B284&lt;'信用保険料計算書（上限2000万）'!$I$15,0,IF($B284&gt;'信用保険料計算書（上限2000万）'!$I$16,0,1)))</f>
        <v>0</v>
      </c>
      <c r="I284" s="209">
        <f>IF(H284=1,HLOOKUP(C284,'計算書（第3回）'!$C$123:$U$124,2,TRUE),0)</f>
        <v>0</v>
      </c>
      <c r="J284" s="209">
        <f>IF('信用保険料計算書（上限2000万）'!$K$15="",0,IF($B284&lt;'信用保険料計算書（上限2000万）'!$K$15,0,IF($B284&gt;'信用保険料計算書（上限2000万）'!$K$16,0,1)))</f>
        <v>0</v>
      </c>
      <c r="K284" s="209">
        <f>IF(J284=1,HLOOKUP(C284,'計算書（第4回）'!$C$123:$U$124,2,TRUE),0)</f>
        <v>0</v>
      </c>
      <c r="L284" s="209">
        <f>IF('信用保険料計算書（上限2000万）'!$M$15="",0,IF($B284&lt;'信用保険料計算書（上限2000万）'!$M$15,0,IF($B284&gt;'信用保険料計算書（上限2000万）'!$M$16,0,1)))</f>
        <v>0</v>
      </c>
      <c r="M284" s="209">
        <f>IF(L284=1,HLOOKUP(C284,'計算書（第5回）'!$C$123:$U$124,2,TRUE),0)</f>
        <v>0</v>
      </c>
      <c r="N284" s="209">
        <f>IF('信用保険料計算書（上限2000万）'!$O$15="",0,IF($B284&lt;'信用保険料計算書（上限2000万）'!$O$15,0,IF($B284&gt;'信用保険料計算書（上限2000万）'!$O$16,0,1)))</f>
        <v>0</v>
      </c>
      <c r="O284" s="209">
        <f>IF(N284=1,HLOOKUP(C284,'計算書（第6回）'!$C$123:$U$124,2,TRUE),0)</f>
        <v>0</v>
      </c>
      <c r="P284" s="209">
        <f>IF('信用保険料計算書（上限2000万）'!$Q$15="",0,IF($B284&lt;'信用保険料計算書（上限2000万）'!$Q$15,0,IF($B284&gt;'信用保険料計算書（上限2000万）'!$Q$16,0,1)))</f>
        <v>0</v>
      </c>
      <c r="Q284" s="209">
        <f>IF(P284=1,HLOOKUP(C284,'計算書（第7回）'!$C$123:$U$124,2,TRUE),0)</f>
        <v>0</v>
      </c>
      <c r="R284" s="213"/>
      <c r="S284" s="211">
        <f>COUNTIF($AB$13:$AB$19,"&lt;=2031/9/1")</f>
        <v>2</v>
      </c>
      <c r="T284" s="178">
        <f t="shared" si="30"/>
        <v>44743</v>
      </c>
      <c r="U284" s="181">
        <f t="shared" si="28"/>
        <v>0</v>
      </c>
      <c r="V284" s="182">
        <f t="shared" si="33"/>
        <v>0</v>
      </c>
      <c r="W284" s="245">
        <f t="shared" si="31"/>
        <v>0</v>
      </c>
      <c r="X284" s="183">
        <f>INT(SUM(W279:W284))</f>
        <v>0</v>
      </c>
    </row>
    <row r="285" spans="2:24">
      <c r="B285" s="214">
        <f t="shared" si="29"/>
        <v>49218</v>
      </c>
      <c r="C285" s="198">
        <f t="shared" si="27"/>
        <v>49188</v>
      </c>
      <c r="D285" s="209">
        <f>IF(B285&lt;'信用保険料計算書（上限2000万）'!$E$15,0,IF(B285&gt;'信用保険料計算書（上限2000万）'!$E$16,0,1))</f>
        <v>0</v>
      </c>
      <c r="E285" s="209">
        <f>IF(D285=1,HLOOKUP(C285,'計算書（第1回）'!$C$123:$U$124,2,TRUE),0)</f>
        <v>0</v>
      </c>
      <c r="F285" s="209">
        <f>IF('信用保険料計算書（上限2000万）'!$G$15="",0,IF($B285&lt;'信用保険料計算書（上限2000万）'!$G$15,0,IF($B285&gt;'信用保険料計算書（上限2000万）'!$G$16,0,1)))</f>
        <v>0</v>
      </c>
      <c r="G285" s="209">
        <f>IF(F285=1,HLOOKUP(C285,'計算書（第2回）'!$C$123:$U$124,2,TRUE),0)</f>
        <v>0</v>
      </c>
      <c r="H285" s="209">
        <f>IF('信用保険料計算書（上限2000万）'!$I$15="",0,IF($B285&lt;'信用保険料計算書（上限2000万）'!$I$15,0,IF($B285&gt;'信用保険料計算書（上限2000万）'!$I$16,0,1)))</f>
        <v>0</v>
      </c>
      <c r="I285" s="209">
        <f>IF(H285=1,HLOOKUP(C285,'計算書（第3回）'!$C$123:$U$124,2,TRUE),0)</f>
        <v>0</v>
      </c>
      <c r="J285" s="209">
        <f>IF('信用保険料計算書（上限2000万）'!$K$15="",0,IF($B285&lt;'信用保険料計算書（上限2000万）'!$K$15,0,IF($B285&gt;'信用保険料計算書（上限2000万）'!$K$16,0,1)))</f>
        <v>0</v>
      </c>
      <c r="K285" s="209">
        <f>IF(J285=1,HLOOKUP(C285,'計算書（第4回）'!$C$123:$U$124,2,TRUE),0)</f>
        <v>0</v>
      </c>
      <c r="L285" s="209">
        <f>IF('信用保険料計算書（上限2000万）'!$M$15="",0,IF($B285&lt;'信用保険料計算書（上限2000万）'!$M$15,0,IF($B285&gt;'信用保険料計算書（上限2000万）'!$M$16,0,1)))</f>
        <v>0</v>
      </c>
      <c r="M285" s="209">
        <f>IF(L285=1,HLOOKUP(C285,'計算書（第5回）'!$C$123:$U$124,2,TRUE),0)</f>
        <v>0</v>
      </c>
      <c r="N285" s="209">
        <f>IF('信用保険料計算書（上限2000万）'!$O$15="",0,IF($B285&lt;'信用保険料計算書（上限2000万）'!$O$15,0,IF($B285&gt;'信用保険料計算書（上限2000万）'!$O$16,0,1)))</f>
        <v>0</v>
      </c>
      <c r="O285" s="209">
        <f>IF(N285=1,HLOOKUP(C285,'計算書（第6回）'!$C$123:$U$124,2,TRUE),0)</f>
        <v>0</v>
      </c>
      <c r="P285" s="209">
        <f>IF('信用保険料計算書（上限2000万）'!$Q$15="",0,IF($B285&lt;'信用保険料計算書（上限2000万）'!$Q$15,0,IF($B285&gt;'信用保険料計算書（上限2000万）'!$Q$16,0,1)))</f>
        <v>0</v>
      </c>
      <c r="Q285" s="209">
        <f>IF(P285=1,HLOOKUP(C285,'計算書（第7回）'!$C$123:$U$124,2,TRUE),0)</f>
        <v>0</v>
      </c>
      <c r="R285" s="213"/>
      <c r="S285" s="211">
        <f>COUNTIF($AB$13:$AB$19,"&lt;=2031/10/1")</f>
        <v>2</v>
      </c>
      <c r="T285" s="178">
        <f t="shared" si="30"/>
        <v>44743</v>
      </c>
      <c r="U285" s="181">
        <f t="shared" si="28"/>
        <v>0</v>
      </c>
      <c r="V285" s="182">
        <f t="shared" si="33"/>
        <v>0</v>
      </c>
      <c r="W285" s="245">
        <f t="shared" si="31"/>
        <v>0</v>
      </c>
      <c r="X285" s="182"/>
    </row>
    <row r="286" spans="2:24">
      <c r="B286" s="214">
        <f t="shared" si="29"/>
        <v>49249</v>
      </c>
      <c r="C286" s="198">
        <f t="shared" si="27"/>
        <v>49218</v>
      </c>
      <c r="D286" s="209">
        <f>IF(B286&lt;'信用保険料計算書（上限2000万）'!$E$15,0,IF(B286&gt;'信用保険料計算書（上限2000万）'!$E$16,0,1))</f>
        <v>0</v>
      </c>
      <c r="E286" s="209">
        <f>IF(D286=1,HLOOKUP(C286,'計算書（第1回）'!$C$123:$U$124,2,TRUE),0)</f>
        <v>0</v>
      </c>
      <c r="F286" s="209">
        <f>IF('信用保険料計算書（上限2000万）'!$G$15="",0,IF($B286&lt;'信用保険料計算書（上限2000万）'!$G$15,0,IF($B286&gt;'信用保険料計算書（上限2000万）'!$G$16,0,1)))</f>
        <v>0</v>
      </c>
      <c r="G286" s="209">
        <f>IF(F286=1,HLOOKUP(C286,'計算書（第2回）'!$C$123:$U$124,2,TRUE),0)</f>
        <v>0</v>
      </c>
      <c r="H286" s="209">
        <f>IF('信用保険料計算書（上限2000万）'!$I$15="",0,IF($B286&lt;'信用保険料計算書（上限2000万）'!$I$15,0,IF($B286&gt;'信用保険料計算書（上限2000万）'!$I$16,0,1)))</f>
        <v>0</v>
      </c>
      <c r="I286" s="209">
        <f>IF(H286=1,HLOOKUP(C286,'計算書（第3回）'!$C$123:$U$124,2,TRUE),0)</f>
        <v>0</v>
      </c>
      <c r="J286" s="209">
        <f>IF('信用保険料計算書（上限2000万）'!$K$15="",0,IF($B286&lt;'信用保険料計算書（上限2000万）'!$K$15,0,IF($B286&gt;'信用保険料計算書（上限2000万）'!$K$16,0,1)))</f>
        <v>0</v>
      </c>
      <c r="K286" s="209">
        <f>IF(J286=1,HLOOKUP(C286,'計算書（第4回）'!$C$123:$U$124,2,TRUE),0)</f>
        <v>0</v>
      </c>
      <c r="L286" s="209">
        <f>IF('信用保険料計算書（上限2000万）'!$M$15="",0,IF($B286&lt;'信用保険料計算書（上限2000万）'!$M$15,0,IF($B286&gt;'信用保険料計算書（上限2000万）'!$M$16,0,1)))</f>
        <v>0</v>
      </c>
      <c r="M286" s="209">
        <f>IF(L286=1,HLOOKUP(C286,'計算書（第5回）'!$C$123:$U$124,2,TRUE),0)</f>
        <v>0</v>
      </c>
      <c r="N286" s="209">
        <f>IF('信用保険料計算書（上限2000万）'!$O$15="",0,IF($B286&lt;'信用保険料計算書（上限2000万）'!$O$15,0,IF($B286&gt;'信用保険料計算書（上限2000万）'!$O$16,0,1)))</f>
        <v>0</v>
      </c>
      <c r="O286" s="209">
        <f>IF(N286=1,HLOOKUP(C286,'計算書（第6回）'!$C$123:$U$124,2,TRUE),0)</f>
        <v>0</v>
      </c>
      <c r="P286" s="209">
        <f>IF('信用保険料計算書（上限2000万）'!$Q$15="",0,IF($B286&lt;'信用保険料計算書（上限2000万）'!$Q$15,0,IF($B286&gt;'信用保険料計算書（上限2000万）'!$Q$16,0,1)))</f>
        <v>0</v>
      </c>
      <c r="Q286" s="209">
        <f>IF(P286=1,HLOOKUP(C286,'計算書（第7回）'!$C$123:$U$124,2,TRUE),0)</f>
        <v>0</v>
      </c>
      <c r="R286" s="213"/>
      <c r="S286" s="211">
        <f>COUNTIF($AB$13:$AB$19,"&lt;=2031/11/1")</f>
        <v>2</v>
      </c>
      <c r="T286" s="178">
        <f t="shared" si="30"/>
        <v>44743</v>
      </c>
      <c r="U286" s="181">
        <f t="shared" si="28"/>
        <v>0</v>
      </c>
      <c r="V286" s="182">
        <f t="shared" si="33"/>
        <v>0</v>
      </c>
      <c r="W286" s="245">
        <f t="shared" si="31"/>
        <v>0</v>
      </c>
      <c r="X286" s="182"/>
    </row>
    <row r="287" spans="2:24">
      <c r="B287" s="214">
        <f t="shared" si="29"/>
        <v>49279</v>
      </c>
      <c r="C287" s="198">
        <f t="shared" si="27"/>
        <v>49249</v>
      </c>
      <c r="D287" s="209">
        <f>IF(B287&lt;'信用保険料計算書（上限2000万）'!$E$15,0,IF(B287&gt;'信用保険料計算書（上限2000万）'!$E$16,0,1))</f>
        <v>0</v>
      </c>
      <c r="E287" s="209">
        <f>IF(D287=1,HLOOKUP(C287,'計算書（第1回）'!$C$123:$U$124,2,TRUE),0)</f>
        <v>0</v>
      </c>
      <c r="F287" s="209">
        <f>IF('信用保険料計算書（上限2000万）'!$G$15="",0,IF($B287&lt;'信用保険料計算書（上限2000万）'!$G$15,0,IF($B287&gt;'信用保険料計算書（上限2000万）'!$G$16,0,1)))</f>
        <v>0</v>
      </c>
      <c r="G287" s="209">
        <f>IF(F287=1,HLOOKUP(C287,'計算書（第2回）'!$C$123:$U$124,2,TRUE),0)</f>
        <v>0</v>
      </c>
      <c r="H287" s="209">
        <f>IF('信用保険料計算書（上限2000万）'!$I$15="",0,IF($B287&lt;'信用保険料計算書（上限2000万）'!$I$15,0,IF($B287&gt;'信用保険料計算書（上限2000万）'!$I$16,0,1)))</f>
        <v>0</v>
      </c>
      <c r="I287" s="209">
        <f>IF(H287=1,HLOOKUP(C287,'計算書（第3回）'!$C$123:$U$124,2,TRUE),0)</f>
        <v>0</v>
      </c>
      <c r="J287" s="209">
        <f>IF('信用保険料計算書（上限2000万）'!$K$15="",0,IF($B287&lt;'信用保険料計算書（上限2000万）'!$K$15,0,IF($B287&gt;'信用保険料計算書（上限2000万）'!$K$16,0,1)))</f>
        <v>0</v>
      </c>
      <c r="K287" s="209">
        <f>IF(J287=1,HLOOKUP(C287,'計算書（第4回）'!$C$123:$U$124,2,TRUE),0)</f>
        <v>0</v>
      </c>
      <c r="L287" s="209">
        <f>IF('信用保険料計算書（上限2000万）'!$M$15="",0,IF($B287&lt;'信用保険料計算書（上限2000万）'!$M$15,0,IF($B287&gt;'信用保険料計算書（上限2000万）'!$M$16,0,1)))</f>
        <v>0</v>
      </c>
      <c r="M287" s="209">
        <f>IF(L287=1,HLOOKUP(C287,'計算書（第5回）'!$C$123:$U$124,2,TRUE),0)</f>
        <v>0</v>
      </c>
      <c r="N287" s="209">
        <f>IF('信用保険料計算書（上限2000万）'!$O$15="",0,IF($B287&lt;'信用保険料計算書（上限2000万）'!$O$15,0,IF($B287&gt;'信用保険料計算書（上限2000万）'!$O$16,0,1)))</f>
        <v>0</v>
      </c>
      <c r="O287" s="209">
        <f>IF(N287=1,HLOOKUP(C287,'計算書（第6回）'!$C$123:$U$124,2,TRUE),0)</f>
        <v>0</v>
      </c>
      <c r="P287" s="209">
        <f>IF('信用保険料計算書（上限2000万）'!$Q$15="",0,IF($B287&lt;'信用保険料計算書（上限2000万）'!$Q$15,0,IF($B287&gt;'信用保険料計算書（上限2000万）'!$Q$16,0,1)))</f>
        <v>0</v>
      </c>
      <c r="Q287" s="209">
        <f>IF(P287=1,HLOOKUP(C287,'計算書（第7回）'!$C$123:$U$124,2,TRUE),0)</f>
        <v>0</v>
      </c>
      <c r="R287" s="213"/>
      <c r="S287" s="211">
        <f>COUNTIF($AB$13:$AB$19,"&lt;=2031/12/1")</f>
        <v>2</v>
      </c>
      <c r="T287" s="178">
        <f t="shared" si="30"/>
        <v>44743</v>
      </c>
      <c r="U287" s="181">
        <f t="shared" si="28"/>
        <v>0</v>
      </c>
      <c r="V287" s="182">
        <f t="shared" si="33"/>
        <v>0</v>
      </c>
      <c r="W287" s="245">
        <f t="shared" si="31"/>
        <v>0</v>
      </c>
      <c r="X287" s="182"/>
    </row>
    <row r="288" spans="2:24">
      <c r="B288" s="214">
        <f t="shared" si="29"/>
        <v>49310</v>
      </c>
      <c r="C288" s="198">
        <f t="shared" si="27"/>
        <v>49279</v>
      </c>
      <c r="D288" s="209">
        <f>IF(B288&lt;'信用保険料計算書（上限2000万）'!$E$15,0,IF(B288&gt;'信用保険料計算書（上限2000万）'!$E$16,0,1))</f>
        <v>0</v>
      </c>
      <c r="E288" s="209">
        <f>IF(D288=1,HLOOKUP(C288,'計算書（第1回）'!$C$123:$U$124,2,TRUE),0)</f>
        <v>0</v>
      </c>
      <c r="F288" s="209">
        <f>IF('信用保険料計算書（上限2000万）'!$G$15="",0,IF($B288&lt;'信用保険料計算書（上限2000万）'!$G$15,0,IF($B288&gt;'信用保険料計算書（上限2000万）'!$G$16,0,1)))</f>
        <v>0</v>
      </c>
      <c r="G288" s="209">
        <f>IF(F288=1,HLOOKUP(C288,'計算書（第2回）'!$C$123:$U$124,2,TRUE),0)</f>
        <v>0</v>
      </c>
      <c r="H288" s="209">
        <f>IF('信用保険料計算書（上限2000万）'!$I$15="",0,IF($B288&lt;'信用保険料計算書（上限2000万）'!$I$15,0,IF($B288&gt;'信用保険料計算書（上限2000万）'!$I$16,0,1)))</f>
        <v>0</v>
      </c>
      <c r="I288" s="209">
        <f>IF(H288=1,HLOOKUP(C288,'計算書（第3回）'!$C$123:$U$124,2,TRUE),0)</f>
        <v>0</v>
      </c>
      <c r="J288" s="209">
        <f>IF('信用保険料計算書（上限2000万）'!$K$15="",0,IF($B288&lt;'信用保険料計算書（上限2000万）'!$K$15,0,IF($B288&gt;'信用保険料計算書（上限2000万）'!$K$16,0,1)))</f>
        <v>0</v>
      </c>
      <c r="K288" s="209">
        <f>IF(J288=1,HLOOKUP(C288,'計算書（第4回）'!$C$123:$U$124,2,TRUE),0)</f>
        <v>0</v>
      </c>
      <c r="L288" s="209">
        <f>IF('信用保険料計算書（上限2000万）'!$M$15="",0,IF($B288&lt;'信用保険料計算書（上限2000万）'!$M$15,0,IF($B288&gt;'信用保険料計算書（上限2000万）'!$M$16,0,1)))</f>
        <v>0</v>
      </c>
      <c r="M288" s="209">
        <f>IF(L288=1,HLOOKUP(C288,'計算書（第5回）'!$C$123:$U$124,2,TRUE),0)</f>
        <v>0</v>
      </c>
      <c r="N288" s="209">
        <f>IF('信用保険料計算書（上限2000万）'!$O$15="",0,IF($B288&lt;'信用保険料計算書（上限2000万）'!$O$15,0,IF($B288&gt;'信用保険料計算書（上限2000万）'!$O$16,0,1)))</f>
        <v>0</v>
      </c>
      <c r="O288" s="209">
        <f>IF(N288=1,HLOOKUP(C288,'計算書（第6回）'!$C$123:$U$124,2,TRUE),0)</f>
        <v>0</v>
      </c>
      <c r="P288" s="209">
        <f>IF('信用保険料計算書（上限2000万）'!$Q$15="",0,IF($B288&lt;'信用保険料計算書（上限2000万）'!$Q$15,0,IF($B288&gt;'信用保険料計算書（上限2000万）'!$Q$16,0,1)))</f>
        <v>0</v>
      </c>
      <c r="Q288" s="209">
        <f>IF(P288=1,HLOOKUP(C288,'計算書（第7回）'!$C$123:$U$124,2,TRUE),0)</f>
        <v>0</v>
      </c>
      <c r="R288" s="212"/>
      <c r="S288" s="211">
        <f>COUNTIF($AB$13:$AB$19,"&lt;=2032/1/1")</f>
        <v>2</v>
      </c>
      <c r="T288" s="178">
        <f t="shared" si="30"/>
        <v>44743</v>
      </c>
      <c r="U288" s="181">
        <f t="shared" si="28"/>
        <v>0</v>
      </c>
      <c r="V288" s="182">
        <f t="shared" si="33"/>
        <v>0</v>
      </c>
      <c r="W288" s="245">
        <f t="shared" si="31"/>
        <v>0</v>
      </c>
      <c r="X288" s="182"/>
    </row>
    <row r="289" spans="2:24">
      <c r="B289" s="214">
        <f t="shared" si="29"/>
        <v>49341</v>
      </c>
      <c r="C289" s="198">
        <f t="shared" si="27"/>
        <v>49310</v>
      </c>
      <c r="D289" s="209">
        <f>IF(B289&lt;'信用保険料計算書（上限2000万）'!$E$15,0,IF(B289&gt;'信用保険料計算書（上限2000万）'!$E$16,0,1))</f>
        <v>0</v>
      </c>
      <c r="E289" s="209">
        <f>IF(D289=1,HLOOKUP(C289,'計算書（第1回）'!$C$123:$U$124,2,TRUE),0)</f>
        <v>0</v>
      </c>
      <c r="F289" s="209">
        <f>IF('信用保険料計算書（上限2000万）'!$G$15="",0,IF($B289&lt;'信用保険料計算書（上限2000万）'!$G$15,0,IF($B289&gt;'信用保険料計算書（上限2000万）'!$G$16,0,1)))</f>
        <v>0</v>
      </c>
      <c r="G289" s="209">
        <f>IF(F289=1,HLOOKUP(C289,'計算書（第2回）'!$C$123:$U$124,2,TRUE),0)</f>
        <v>0</v>
      </c>
      <c r="H289" s="209">
        <f>IF('信用保険料計算書（上限2000万）'!$I$15="",0,IF($B289&lt;'信用保険料計算書（上限2000万）'!$I$15,0,IF($B289&gt;'信用保険料計算書（上限2000万）'!$I$16,0,1)))</f>
        <v>0</v>
      </c>
      <c r="I289" s="209">
        <f>IF(H289=1,HLOOKUP(C289,'計算書（第3回）'!$C$123:$U$124,2,TRUE),0)</f>
        <v>0</v>
      </c>
      <c r="J289" s="209">
        <f>IF('信用保険料計算書（上限2000万）'!$K$15="",0,IF($B289&lt;'信用保険料計算書（上限2000万）'!$K$15,0,IF($B289&gt;'信用保険料計算書（上限2000万）'!$K$16,0,1)))</f>
        <v>0</v>
      </c>
      <c r="K289" s="209">
        <f>IF(J289=1,HLOOKUP(C289,'計算書（第4回）'!$C$123:$U$124,2,TRUE),0)</f>
        <v>0</v>
      </c>
      <c r="L289" s="209">
        <f>IF('信用保険料計算書（上限2000万）'!$M$15="",0,IF($B289&lt;'信用保険料計算書（上限2000万）'!$M$15,0,IF($B289&gt;'信用保険料計算書（上限2000万）'!$M$16,0,1)))</f>
        <v>0</v>
      </c>
      <c r="M289" s="209">
        <f>IF(L289=1,HLOOKUP(C289,'計算書（第5回）'!$C$123:$U$124,2,TRUE),0)</f>
        <v>0</v>
      </c>
      <c r="N289" s="209">
        <f>IF('信用保険料計算書（上限2000万）'!$O$15="",0,IF($B289&lt;'信用保険料計算書（上限2000万）'!$O$15,0,IF($B289&gt;'信用保険料計算書（上限2000万）'!$O$16,0,1)))</f>
        <v>0</v>
      </c>
      <c r="O289" s="209">
        <f>IF(N289=1,HLOOKUP(C289,'計算書（第6回）'!$C$123:$U$124,2,TRUE),0)</f>
        <v>0</v>
      </c>
      <c r="P289" s="209">
        <f>IF('信用保険料計算書（上限2000万）'!$Q$15="",0,IF($B289&lt;'信用保険料計算書（上限2000万）'!$Q$15,0,IF($B289&gt;'信用保険料計算書（上限2000万）'!$Q$16,0,1)))</f>
        <v>0</v>
      </c>
      <c r="Q289" s="209">
        <f>IF(P289=1,HLOOKUP(C289,'計算書（第7回）'!$C$123:$U$124,2,TRUE),0)</f>
        <v>0</v>
      </c>
      <c r="R289" s="212"/>
      <c r="S289" s="211">
        <f>COUNTIF($AB$13:$AB$19,"&lt;=2032/2/1")</f>
        <v>2</v>
      </c>
      <c r="T289" s="178">
        <f t="shared" si="30"/>
        <v>44743</v>
      </c>
      <c r="U289" s="181">
        <f t="shared" si="28"/>
        <v>0</v>
      </c>
      <c r="V289" s="182">
        <f t="shared" si="33"/>
        <v>0</v>
      </c>
      <c r="W289" s="245">
        <f t="shared" si="31"/>
        <v>0</v>
      </c>
      <c r="X289" s="182"/>
    </row>
    <row r="290" spans="2:24">
      <c r="B290" s="214">
        <f t="shared" si="29"/>
        <v>49369</v>
      </c>
      <c r="C290" s="198">
        <f t="shared" si="27"/>
        <v>49341</v>
      </c>
      <c r="D290" s="209">
        <f>IF(B290&lt;'信用保険料計算書（上限2000万）'!$E$15,0,IF(B290&gt;'信用保険料計算書（上限2000万）'!$E$16,0,1))</f>
        <v>0</v>
      </c>
      <c r="E290" s="209">
        <f>IF(D290=1,HLOOKUP(C290,'計算書（第1回）'!$C$123:$U$124,2,TRUE),0)</f>
        <v>0</v>
      </c>
      <c r="F290" s="209">
        <f>IF('信用保険料計算書（上限2000万）'!$G$15="",0,IF($B290&lt;'信用保険料計算書（上限2000万）'!$G$15,0,IF($B290&gt;'信用保険料計算書（上限2000万）'!$G$16,0,1)))</f>
        <v>0</v>
      </c>
      <c r="G290" s="209">
        <f>IF(F290=1,HLOOKUP(C290,'計算書（第2回）'!$C$123:$U$124,2,TRUE),0)</f>
        <v>0</v>
      </c>
      <c r="H290" s="209">
        <f>IF('信用保険料計算書（上限2000万）'!$I$15="",0,IF($B290&lt;'信用保険料計算書（上限2000万）'!$I$15,0,IF($B290&gt;'信用保険料計算書（上限2000万）'!$I$16,0,1)))</f>
        <v>0</v>
      </c>
      <c r="I290" s="209">
        <f>IF(H290=1,HLOOKUP(C290,'計算書（第3回）'!$C$123:$U$124,2,TRUE),0)</f>
        <v>0</v>
      </c>
      <c r="J290" s="209">
        <f>IF('信用保険料計算書（上限2000万）'!$K$15="",0,IF($B290&lt;'信用保険料計算書（上限2000万）'!$K$15,0,IF($B290&gt;'信用保険料計算書（上限2000万）'!$K$16,0,1)))</f>
        <v>0</v>
      </c>
      <c r="K290" s="209">
        <f>IF(J290=1,HLOOKUP(C290,'計算書（第4回）'!$C$123:$U$124,2,TRUE),0)</f>
        <v>0</v>
      </c>
      <c r="L290" s="209">
        <f>IF('信用保険料計算書（上限2000万）'!$M$15="",0,IF($B290&lt;'信用保険料計算書（上限2000万）'!$M$15,0,IF($B290&gt;'信用保険料計算書（上限2000万）'!$M$16,0,1)))</f>
        <v>0</v>
      </c>
      <c r="M290" s="209">
        <f>IF(L290=1,HLOOKUP(C290,'計算書（第5回）'!$C$123:$U$124,2,TRUE),0)</f>
        <v>0</v>
      </c>
      <c r="N290" s="209">
        <f>IF('信用保険料計算書（上限2000万）'!$O$15="",0,IF($B290&lt;'信用保険料計算書（上限2000万）'!$O$15,0,IF($B290&gt;'信用保険料計算書（上限2000万）'!$O$16,0,1)))</f>
        <v>0</v>
      </c>
      <c r="O290" s="209">
        <f>IF(N290=1,HLOOKUP(C290,'計算書（第6回）'!$C$123:$U$124,2,TRUE),0)</f>
        <v>0</v>
      </c>
      <c r="P290" s="209">
        <f>IF('信用保険料計算書（上限2000万）'!$Q$15="",0,IF($B290&lt;'信用保険料計算書（上限2000万）'!$Q$15,0,IF($B290&gt;'信用保険料計算書（上限2000万）'!$Q$16,0,1)))</f>
        <v>0</v>
      </c>
      <c r="Q290" s="209">
        <f>IF(P290=1,HLOOKUP(C290,'計算書（第7回）'!$C$123:$U$124,2,TRUE),0)</f>
        <v>0</v>
      </c>
      <c r="R290" s="212"/>
      <c r="S290" s="211">
        <f>COUNTIF($AB$13:$AB$19,"&lt;=2032/3/1")</f>
        <v>2</v>
      </c>
      <c r="T290" s="178">
        <f t="shared" si="30"/>
        <v>44743</v>
      </c>
      <c r="U290" s="181">
        <f t="shared" si="28"/>
        <v>0</v>
      </c>
      <c r="V290" s="182">
        <f t="shared" si="33"/>
        <v>0</v>
      </c>
      <c r="W290" s="245">
        <f t="shared" si="31"/>
        <v>0</v>
      </c>
      <c r="X290" s="183">
        <f>INT(SUM(W285:W290))</f>
        <v>0</v>
      </c>
    </row>
    <row r="291" spans="2:24">
      <c r="B291" s="214">
        <f t="shared" si="29"/>
        <v>49400</v>
      </c>
      <c r="C291" s="198">
        <f t="shared" si="27"/>
        <v>49369</v>
      </c>
      <c r="D291" s="209">
        <f>IF(B291&lt;'信用保険料計算書（上限2000万）'!$E$15,0,IF(B291&gt;'信用保険料計算書（上限2000万）'!$E$16,0,1))</f>
        <v>0</v>
      </c>
      <c r="E291" s="209">
        <f>IF(D291=1,HLOOKUP(C291,'計算書（第1回）'!$C$123:$U$124,2,TRUE),0)</f>
        <v>0</v>
      </c>
      <c r="F291" s="209">
        <f>IF('信用保険料計算書（上限2000万）'!$G$15="",0,IF($B291&lt;'信用保険料計算書（上限2000万）'!$G$15,0,IF($B291&gt;'信用保険料計算書（上限2000万）'!$G$16,0,1)))</f>
        <v>0</v>
      </c>
      <c r="G291" s="209">
        <f>IF(F291=1,HLOOKUP(C291,'計算書（第2回）'!$C$123:$U$124,2,TRUE),0)</f>
        <v>0</v>
      </c>
      <c r="H291" s="209">
        <f>IF('信用保険料計算書（上限2000万）'!$I$15="",0,IF($B291&lt;'信用保険料計算書（上限2000万）'!$I$15,0,IF($B291&gt;'信用保険料計算書（上限2000万）'!$I$16,0,1)))</f>
        <v>0</v>
      </c>
      <c r="I291" s="209">
        <f>IF(H291=1,HLOOKUP(C291,'計算書（第3回）'!$C$123:$U$124,2,TRUE),0)</f>
        <v>0</v>
      </c>
      <c r="J291" s="209">
        <f>IF('信用保険料計算書（上限2000万）'!$K$15="",0,IF($B291&lt;'信用保険料計算書（上限2000万）'!$K$15,0,IF($B291&gt;'信用保険料計算書（上限2000万）'!$K$16,0,1)))</f>
        <v>0</v>
      </c>
      <c r="K291" s="209">
        <f>IF(J291=1,HLOOKUP(C291,'計算書（第4回）'!$C$123:$U$124,2,TRUE),0)</f>
        <v>0</v>
      </c>
      <c r="L291" s="209">
        <f>IF('信用保険料計算書（上限2000万）'!$M$15="",0,IF($B291&lt;'信用保険料計算書（上限2000万）'!$M$15,0,IF($B291&gt;'信用保険料計算書（上限2000万）'!$M$16,0,1)))</f>
        <v>0</v>
      </c>
      <c r="M291" s="209">
        <f>IF(L291=1,HLOOKUP(C291,'計算書（第5回）'!$C$123:$U$124,2,TRUE),0)</f>
        <v>0</v>
      </c>
      <c r="N291" s="209">
        <f>IF('信用保険料計算書（上限2000万）'!$O$15="",0,IF($B291&lt;'信用保険料計算書（上限2000万）'!$O$15,0,IF($B291&gt;'信用保険料計算書（上限2000万）'!$O$16,0,1)))</f>
        <v>0</v>
      </c>
      <c r="O291" s="209">
        <f>IF(N291=1,HLOOKUP(C291,'計算書（第6回）'!$C$123:$U$124,2,TRUE),0)</f>
        <v>0</v>
      </c>
      <c r="P291" s="209">
        <f>IF('信用保険料計算書（上限2000万）'!$Q$15="",0,IF($B291&lt;'信用保険料計算書（上限2000万）'!$Q$15,0,IF($B291&gt;'信用保険料計算書（上限2000万）'!$Q$16,0,1)))</f>
        <v>0</v>
      </c>
      <c r="Q291" s="209">
        <f>IF(P291=1,HLOOKUP(C291,'計算書（第7回）'!$C$123:$U$124,2,TRUE),0)</f>
        <v>0</v>
      </c>
      <c r="R291" s="213"/>
      <c r="S291" s="211">
        <f>COUNTIF($AB$13:$AB$19,"&lt;=2031/4/1")</f>
        <v>2</v>
      </c>
      <c r="T291" s="178">
        <f t="shared" si="30"/>
        <v>44743</v>
      </c>
      <c r="U291" s="181">
        <f t="shared" si="28"/>
        <v>0</v>
      </c>
      <c r="V291" s="182">
        <f t="shared" ref="V291:V302" si="34">IF(U291=0,0,IF(U291&gt;VLOOKUP(T291,$AA$5:$AB$8,2,TRUE),VLOOKUP(T291,$AA$5:$AB$8,2,TRUE),U291))</f>
        <v>0</v>
      </c>
      <c r="W291" s="245">
        <f t="shared" si="31"/>
        <v>0</v>
      </c>
      <c r="X291" s="182"/>
    </row>
    <row r="292" spans="2:24">
      <c r="B292" s="214">
        <f t="shared" si="29"/>
        <v>49430</v>
      </c>
      <c r="C292" s="198">
        <f t="shared" si="27"/>
        <v>49400</v>
      </c>
      <c r="D292" s="209">
        <f>IF(B292&lt;'信用保険料計算書（上限2000万）'!$E$15,0,IF(B292&gt;'信用保険料計算書（上限2000万）'!$E$16,0,1))</f>
        <v>0</v>
      </c>
      <c r="E292" s="209">
        <f>IF(D292=1,HLOOKUP(C292,'計算書（第1回）'!$C$123:$U$124,2,TRUE),0)</f>
        <v>0</v>
      </c>
      <c r="F292" s="209">
        <f>IF('信用保険料計算書（上限2000万）'!$G$15="",0,IF($B292&lt;'信用保険料計算書（上限2000万）'!$G$15,0,IF($B292&gt;'信用保険料計算書（上限2000万）'!$G$16,0,1)))</f>
        <v>0</v>
      </c>
      <c r="G292" s="209">
        <f>IF(F292=1,HLOOKUP(C292,'計算書（第2回）'!$C$123:$U$124,2,TRUE),0)</f>
        <v>0</v>
      </c>
      <c r="H292" s="209">
        <f>IF('信用保険料計算書（上限2000万）'!$I$15="",0,IF($B292&lt;'信用保険料計算書（上限2000万）'!$I$15,0,IF($B292&gt;'信用保険料計算書（上限2000万）'!$I$16,0,1)))</f>
        <v>0</v>
      </c>
      <c r="I292" s="209">
        <f>IF(H292=1,HLOOKUP(C292,'計算書（第3回）'!$C$123:$U$124,2,TRUE),0)</f>
        <v>0</v>
      </c>
      <c r="J292" s="209">
        <f>IF('信用保険料計算書（上限2000万）'!$K$15="",0,IF($B292&lt;'信用保険料計算書（上限2000万）'!$K$15,0,IF($B292&gt;'信用保険料計算書（上限2000万）'!$K$16,0,1)))</f>
        <v>0</v>
      </c>
      <c r="K292" s="209">
        <f>IF(J292=1,HLOOKUP(C292,'計算書（第4回）'!$C$123:$U$124,2,TRUE),0)</f>
        <v>0</v>
      </c>
      <c r="L292" s="209">
        <f>IF('信用保険料計算書（上限2000万）'!$M$15="",0,IF($B292&lt;'信用保険料計算書（上限2000万）'!$M$15,0,IF($B292&gt;'信用保険料計算書（上限2000万）'!$M$16,0,1)))</f>
        <v>0</v>
      </c>
      <c r="M292" s="209">
        <f>IF(L292=1,HLOOKUP(C292,'計算書（第5回）'!$C$123:$U$124,2,TRUE),0)</f>
        <v>0</v>
      </c>
      <c r="N292" s="209">
        <f>IF('信用保険料計算書（上限2000万）'!$O$15="",0,IF($B292&lt;'信用保険料計算書（上限2000万）'!$O$15,0,IF($B292&gt;'信用保険料計算書（上限2000万）'!$O$16,0,1)))</f>
        <v>0</v>
      </c>
      <c r="O292" s="209">
        <f>IF(N292=1,HLOOKUP(C292,'計算書（第6回）'!$C$123:$U$124,2,TRUE),0)</f>
        <v>0</v>
      </c>
      <c r="P292" s="209">
        <f>IF('信用保険料計算書（上限2000万）'!$Q$15="",0,IF($B292&lt;'信用保険料計算書（上限2000万）'!$Q$15,0,IF($B292&gt;'信用保険料計算書（上限2000万）'!$Q$16,0,1)))</f>
        <v>0</v>
      </c>
      <c r="Q292" s="209">
        <f>IF(P292=1,HLOOKUP(C292,'計算書（第7回）'!$C$123:$U$124,2,TRUE),0)</f>
        <v>0</v>
      </c>
      <c r="R292" s="213"/>
      <c r="S292" s="211">
        <f>COUNTIF($AB$13:$AB$19,"&lt;=2031/5/1")</f>
        <v>2</v>
      </c>
      <c r="T292" s="178">
        <f t="shared" si="30"/>
        <v>44743</v>
      </c>
      <c r="U292" s="181">
        <f t="shared" si="28"/>
        <v>0</v>
      </c>
      <c r="V292" s="182">
        <f t="shared" si="34"/>
        <v>0</v>
      </c>
      <c r="W292" s="245">
        <f t="shared" si="31"/>
        <v>0</v>
      </c>
      <c r="X292" s="182"/>
    </row>
    <row r="293" spans="2:24">
      <c r="B293" s="214">
        <f t="shared" si="29"/>
        <v>49461</v>
      </c>
      <c r="C293" s="198">
        <f t="shared" si="27"/>
        <v>49430</v>
      </c>
      <c r="D293" s="209">
        <f>IF(B293&lt;'信用保険料計算書（上限2000万）'!$E$15,0,IF(B293&gt;'信用保険料計算書（上限2000万）'!$E$16,0,1))</f>
        <v>0</v>
      </c>
      <c r="E293" s="209">
        <f>IF(D293=1,HLOOKUP(C293,'計算書（第1回）'!$C$123:$U$124,2,TRUE),0)</f>
        <v>0</v>
      </c>
      <c r="F293" s="209">
        <f>IF('信用保険料計算書（上限2000万）'!$G$15="",0,IF($B293&lt;'信用保険料計算書（上限2000万）'!$G$15,0,IF($B293&gt;'信用保険料計算書（上限2000万）'!$G$16,0,1)))</f>
        <v>0</v>
      </c>
      <c r="G293" s="209">
        <f>IF(F293=1,HLOOKUP(C293,'計算書（第2回）'!$C$123:$U$124,2,TRUE),0)</f>
        <v>0</v>
      </c>
      <c r="H293" s="209">
        <f>IF('信用保険料計算書（上限2000万）'!$I$15="",0,IF($B293&lt;'信用保険料計算書（上限2000万）'!$I$15,0,IF($B293&gt;'信用保険料計算書（上限2000万）'!$I$16,0,1)))</f>
        <v>0</v>
      </c>
      <c r="I293" s="209">
        <f>IF(H293=1,HLOOKUP(C293,'計算書（第3回）'!$C$123:$U$124,2,TRUE),0)</f>
        <v>0</v>
      </c>
      <c r="J293" s="209">
        <f>IF('信用保険料計算書（上限2000万）'!$K$15="",0,IF($B293&lt;'信用保険料計算書（上限2000万）'!$K$15,0,IF($B293&gt;'信用保険料計算書（上限2000万）'!$K$16,0,1)))</f>
        <v>0</v>
      </c>
      <c r="K293" s="209">
        <f>IF(J293=1,HLOOKUP(C293,'計算書（第4回）'!$C$123:$U$124,2,TRUE),0)</f>
        <v>0</v>
      </c>
      <c r="L293" s="209">
        <f>IF('信用保険料計算書（上限2000万）'!$M$15="",0,IF($B293&lt;'信用保険料計算書（上限2000万）'!$M$15,0,IF($B293&gt;'信用保険料計算書（上限2000万）'!$M$16,0,1)))</f>
        <v>0</v>
      </c>
      <c r="M293" s="209">
        <f>IF(L293=1,HLOOKUP(C293,'計算書（第5回）'!$C$123:$U$124,2,TRUE),0)</f>
        <v>0</v>
      </c>
      <c r="N293" s="209">
        <f>IF('信用保険料計算書（上限2000万）'!$O$15="",0,IF($B293&lt;'信用保険料計算書（上限2000万）'!$O$15,0,IF($B293&gt;'信用保険料計算書（上限2000万）'!$O$16,0,1)))</f>
        <v>0</v>
      </c>
      <c r="O293" s="209">
        <f>IF(N293=1,HLOOKUP(C293,'計算書（第6回）'!$C$123:$U$124,2,TRUE),0)</f>
        <v>0</v>
      </c>
      <c r="P293" s="209">
        <f>IF('信用保険料計算書（上限2000万）'!$Q$15="",0,IF($B293&lt;'信用保険料計算書（上限2000万）'!$Q$15,0,IF($B293&gt;'信用保険料計算書（上限2000万）'!$Q$16,0,1)))</f>
        <v>0</v>
      </c>
      <c r="Q293" s="209">
        <f>IF(P293=1,HLOOKUP(C293,'計算書（第7回）'!$C$123:$U$124,2,TRUE),0)</f>
        <v>0</v>
      </c>
      <c r="R293" s="213"/>
      <c r="S293" s="211">
        <f>COUNTIF($AB$13:$AB$19,"&lt;=2031/6/1")</f>
        <v>2</v>
      </c>
      <c r="T293" s="178">
        <f t="shared" si="30"/>
        <v>44743</v>
      </c>
      <c r="U293" s="181">
        <f t="shared" si="28"/>
        <v>0</v>
      </c>
      <c r="V293" s="182">
        <f t="shared" si="34"/>
        <v>0</v>
      </c>
      <c r="W293" s="245">
        <f t="shared" si="31"/>
        <v>0</v>
      </c>
      <c r="X293" s="182"/>
    </row>
    <row r="294" spans="2:24">
      <c r="B294" s="214">
        <f t="shared" si="29"/>
        <v>49491</v>
      </c>
      <c r="C294" s="198">
        <f t="shared" si="27"/>
        <v>49461</v>
      </c>
      <c r="D294" s="209">
        <f>IF(B294&lt;'信用保険料計算書（上限2000万）'!$E$15,0,IF(B294&gt;'信用保険料計算書（上限2000万）'!$E$16,0,1))</f>
        <v>0</v>
      </c>
      <c r="E294" s="209">
        <f>IF(D294=1,HLOOKUP(C294,'計算書（第1回）'!$C$123:$U$124,2,TRUE),0)</f>
        <v>0</v>
      </c>
      <c r="F294" s="209">
        <f>IF('信用保険料計算書（上限2000万）'!$G$15="",0,IF($B294&lt;'信用保険料計算書（上限2000万）'!$G$15,0,IF($B294&gt;'信用保険料計算書（上限2000万）'!$G$16,0,1)))</f>
        <v>0</v>
      </c>
      <c r="G294" s="209">
        <f>IF(F294=1,HLOOKUP(C294,'計算書（第2回）'!$C$123:$U$124,2,TRUE),0)</f>
        <v>0</v>
      </c>
      <c r="H294" s="209">
        <f>IF('信用保険料計算書（上限2000万）'!$I$15="",0,IF($B294&lt;'信用保険料計算書（上限2000万）'!$I$15,0,IF($B294&gt;'信用保険料計算書（上限2000万）'!$I$16,0,1)))</f>
        <v>0</v>
      </c>
      <c r="I294" s="209">
        <f>IF(H294=1,HLOOKUP(C294,'計算書（第3回）'!$C$123:$U$124,2,TRUE),0)</f>
        <v>0</v>
      </c>
      <c r="J294" s="209">
        <f>IF('信用保険料計算書（上限2000万）'!$K$15="",0,IF($B294&lt;'信用保険料計算書（上限2000万）'!$K$15,0,IF($B294&gt;'信用保険料計算書（上限2000万）'!$K$16,0,1)))</f>
        <v>0</v>
      </c>
      <c r="K294" s="209">
        <f>IF(J294=1,HLOOKUP(C294,'計算書（第4回）'!$C$123:$U$124,2,TRUE),0)</f>
        <v>0</v>
      </c>
      <c r="L294" s="209">
        <f>IF('信用保険料計算書（上限2000万）'!$M$15="",0,IF($B294&lt;'信用保険料計算書（上限2000万）'!$M$15,0,IF($B294&gt;'信用保険料計算書（上限2000万）'!$M$16,0,1)))</f>
        <v>0</v>
      </c>
      <c r="M294" s="209">
        <f>IF(L294=1,HLOOKUP(C294,'計算書（第5回）'!$C$123:$U$124,2,TRUE),0)</f>
        <v>0</v>
      </c>
      <c r="N294" s="209">
        <f>IF('信用保険料計算書（上限2000万）'!$O$15="",0,IF($B294&lt;'信用保険料計算書（上限2000万）'!$O$15,0,IF($B294&gt;'信用保険料計算書（上限2000万）'!$O$16,0,1)))</f>
        <v>0</v>
      </c>
      <c r="O294" s="209">
        <f>IF(N294=1,HLOOKUP(C294,'計算書（第6回）'!$C$123:$U$124,2,TRUE),0)</f>
        <v>0</v>
      </c>
      <c r="P294" s="209">
        <f>IF('信用保険料計算書（上限2000万）'!$Q$15="",0,IF($B294&lt;'信用保険料計算書（上限2000万）'!$Q$15,0,IF($B294&gt;'信用保険料計算書（上限2000万）'!$Q$16,0,1)))</f>
        <v>0</v>
      </c>
      <c r="Q294" s="209">
        <f>IF(P294=1,HLOOKUP(C294,'計算書（第7回）'!$C$123:$U$124,2,TRUE),0)</f>
        <v>0</v>
      </c>
      <c r="R294" s="213"/>
      <c r="S294" s="211">
        <f>COUNTIF($AB$13:$AB$19,"&lt;=2031/7/1")</f>
        <v>2</v>
      </c>
      <c r="T294" s="178">
        <f t="shared" si="30"/>
        <v>44743</v>
      </c>
      <c r="U294" s="181">
        <f t="shared" si="28"/>
        <v>0</v>
      </c>
      <c r="V294" s="182">
        <f t="shared" si="34"/>
        <v>0</v>
      </c>
      <c r="W294" s="245">
        <f t="shared" si="31"/>
        <v>0</v>
      </c>
      <c r="X294" s="182"/>
    </row>
    <row r="295" spans="2:24">
      <c r="B295" s="214">
        <f t="shared" si="29"/>
        <v>49522</v>
      </c>
      <c r="C295" s="198">
        <f t="shared" si="27"/>
        <v>49491</v>
      </c>
      <c r="D295" s="209">
        <f>IF(B295&lt;'信用保険料計算書（上限2000万）'!$E$15,0,IF(B295&gt;'信用保険料計算書（上限2000万）'!$E$16,0,1))</f>
        <v>0</v>
      </c>
      <c r="E295" s="209">
        <f>IF(D295=1,HLOOKUP(C295,'計算書（第1回）'!$C$123:$U$124,2,TRUE),0)</f>
        <v>0</v>
      </c>
      <c r="F295" s="209">
        <f>IF('信用保険料計算書（上限2000万）'!$G$15="",0,IF($B295&lt;'信用保険料計算書（上限2000万）'!$G$15,0,IF($B295&gt;'信用保険料計算書（上限2000万）'!$G$16,0,1)))</f>
        <v>0</v>
      </c>
      <c r="G295" s="209">
        <f>IF(F295=1,HLOOKUP(C295,'計算書（第2回）'!$C$123:$U$124,2,TRUE),0)</f>
        <v>0</v>
      </c>
      <c r="H295" s="209">
        <f>IF('信用保険料計算書（上限2000万）'!$I$15="",0,IF($B295&lt;'信用保険料計算書（上限2000万）'!$I$15,0,IF($B295&gt;'信用保険料計算書（上限2000万）'!$I$16,0,1)))</f>
        <v>0</v>
      </c>
      <c r="I295" s="209">
        <f>IF(H295=1,HLOOKUP(C295,'計算書（第3回）'!$C$123:$U$124,2,TRUE),0)</f>
        <v>0</v>
      </c>
      <c r="J295" s="209">
        <f>IF('信用保険料計算書（上限2000万）'!$K$15="",0,IF($B295&lt;'信用保険料計算書（上限2000万）'!$K$15,0,IF($B295&gt;'信用保険料計算書（上限2000万）'!$K$16,0,1)))</f>
        <v>0</v>
      </c>
      <c r="K295" s="209">
        <f>IF(J295=1,HLOOKUP(C295,'計算書（第4回）'!$C$123:$U$124,2,TRUE),0)</f>
        <v>0</v>
      </c>
      <c r="L295" s="209">
        <f>IF('信用保険料計算書（上限2000万）'!$M$15="",0,IF($B295&lt;'信用保険料計算書（上限2000万）'!$M$15,0,IF($B295&gt;'信用保険料計算書（上限2000万）'!$M$16,0,1)))</f>
        <v>0</v>
      </c>
      <c r="M295" s="209">
        <f>IF(L295=1,HLOOKUP(C295,'計算書（第5回）'!$C$123:$U$124,2,TRUE),0)</f>
        <v>0</v>
      </c>
      <c r="N295" s="209">
        <f>IF('信用保険料計算書（上限2000万）'!$O$15="",0,IF($B295&lt;'信用保険料計算書（上限2000万）'!$O$15,0,IF($B295&gt;'信用保険料計算書（上限2000万）'!$O$16,0,1)))</f>
        <v>0</v>
      </c>
      <c r="O295" s="209">
        <f>IF(N295=1,HLOOKUP(C295,'計算書（第6回）'!$C$123:$U$124,2,TRUE),0)</f>
        <v>0</v>
      </c>
      <c r="P295" s="209">
        <f>IF('信用保険料計算書（上限2000万）'!$Q$15="",0,IF($B295&lt;'信用保険料計算書（上限2000万）'!$Q$15,0,IF($B295&gt;'信用保険料計算書（上限2000万）'!$Q$16,0,1)))</f>
        <v>0</v>
      </c>
      <c r="Q295" s="209">
        <f>IF(P295=1,HLOOKUP(C295,'計算書（第7回）'!$C$123:$U$124,2,TRUE),0)</f>
        <v>0</v>
      </c>
      <c r="R295" s="213"/>
      <c r="S295" s="211">
        <f>COUNTIF($AB$13:$AB$19,"&lt;=2031/8/1")</f>
        <v>2</v>
      </c>
      <c r="T295" s="178">
        <f t="shared" si="30"/>
        <v>44743</v>
      </c>
      <c r="U295" s="181">
        <f t="shared" si="28"/>
        <v>0</v>
      </c>
      <c r="V295" s="182">
        <f t="shared" si="34"/>
        <v>0</v>
      </c>
      <c r="W295" s="245">
        <f t="shared" si="31"/>
        <v>0</v>
      </c>
      <c r="X295" s="182"/>
    </row>
    <row r="296" spans="2:24">
      <c r="B296" s="214">
        <f t="shared" si="29"/>
        <v>49553</v>
      </c>
      <c r="C296" s="198">
        <f t="shared" si="27"/>
        <v>49522</v>
      </c>
      <c r="D296" s="209">
        <f>IF(B296&lt;'信用保険料計算書（上限2000万）'!$E$15,0,IF(B296&gt;'信用保険料計算書（上限2000万）'!$E$16,0,1))</f>
        <v>0</v>
      </c>
      <c r="E296" s="209">
        <f>IF(D296=1,HLOOKUP(C296,'計算書（第1回）'!$C$123:$U$124,2,TRUE),0)</f>
        <v>0</v>
      </c>
      <c r="F296" s="209">
        <f>IF('信用保険料計算書（上限2000万）'!$G$15="",0,IF($B296&lt;'信用保険料計算書（上限2000万）'!$G$15,0,IF($B296&gt;'信用保険料計算書（上限2000万）'!$G$16,0,1)))</f>
        <v>0</v>
      </c>
      <c r="G296" s="209">
        <f>IF(F296=1,HLOOKUP(C296,'計算書（第2回）'!$C$123:$U$124,2,TRUE),0)</f>
        <v>0</v>
      </c>
      <c r="H296" s="209">
        <f>IF('信用保険料計算書（上限2000万）'!$I$15="",0,IF($B296&lt;'信用保険料計算書（上限2000万）'!$I$15,0,IF($B296&gt;'信用保険料計算書（上限2000万）'!$I$16,0,1)))</f>
        <v>0</v>
      </c>
      <c r="I296" s="209">
        <f>IF(H296=1,HLOOKUP(C296,'計算書（第3回）'!$C$123:$U$124,2,TRUE),0)</f>
        <v>0</v>
      </c>
      <c r="J296" s="209">
        <f>IF('信用保険料計算書（上限2000万）'!$K$15="",0,IF($B296&lt;'信用保険料計算書（上限2000万）'!$K$15,0,IF($B296&gt;'信用保険料計算書（上限2000万）'!$K$16,0,1)))</f>
        <v>0</v>
      </c>
      <c r="K296" s="209">
        <f>IF(J296=1,HLOOKUP(C296,'計算書（第4回）'!$C$123:$U$124,2,TRUE),0)</f>
        <v>0</v>
      </c>
      <c r="L296" s="209">
        <f>IF('信用保険料計算書（上限2000万）'!$M$15="",0,IF($B296&lt;'信用保険料計算書（上限2000万）'!$M$15,0,IF($B296&gt;'信用保険料計算書（上限2000万）'!$M$16,0,1)))</f>
        <v>0</v>
      </c>
      <c r="M296" s="209">
        <f>IF(L296=1,HLOOKUP(C296,'計算書（第5回）'!$C$123:$U$124,2,TRUE),0)</f>
        <v>0</v>
      </c>
      <c r="N296" s="209">
        <f>IF('信用保険料計算書（上限2000万）'!$O$15="",0,IF($B296&lt;'信用保険料計算書（上限2000万）'!$O$15,0,IF($B296&gt;'信用保険料計算書（上限2000万）'!$O$16,0,1)))</f>
        <v>0</v>
      </c>
      <c r="O296" s="209">
        <f>IF(N296=1,HLOOKUP(C296,'計算書（第6回）'!$C$123:$U$124,2,TRUE),0)</f>
        <v>0</v>
      </c>
      <c r="P296" s="209">
        <f>IF('信用保険料計算書（上限2000万）'!$Q$15="",0,IF($B296&lt;'信用保険料計算書（上限2000万）'!$Q$15,0,IF($B296&gt;'信用保険料計算書（上限2000万）'!$Q$16,0,1)))</f>
        <v>0</v>
      </c>
      <c r="Q296" s="209">
        <f>IF(P296=1,HLOOKUP(C296,'計算書（第7回）'!$C$123:$U$124,2,TRUE),0)</f>
        <v>0</v>
      </c>
      <c r="R296" s="213"/>
      <c r="S296" s="211">
        <f>COUNTIF($AB$13:$AB$19,"&lt;=2031/9/1")</f>
        <v>2</v>
      </c>
      <c r="T296" s="178">
        <f t="shared" si="30"/>
        <v>44743</v>
      </c>
      <c r="U296" s="181">
        <f t="shared" si="28"/>
        <v>0</v>
      </c>
      <c r="V296" s="182">
        <f t="shared" si="34"/>
        <v>0</v>
      </c>
      <c r="W296" s="245">
        <f t="shared" si="31"/>
        <v>0</v>
      </c>
      <c r="X296" s="183">
        <f>INT(SUM(W291:W296))</f>
        <v>0</v>
      </c>
    </row>
    <row r="297" spans="2:24">
      <c r="B297" s="214">
        <f t="shared" si="29"/>
        <v>49583</v>
      </c>
      <c r="C297" s="198">
        <f t="shared" si="27"/>
        <v>49553</v>
      </c>
      <c r="D297" s="209">
        <f>IF(B297&lt;'信用保険料計算書（上限2000万）'!$E$15,0,IF(B297&gt;'信用保険料計算書（上限2000万）'!$E$16,0,1))</f>
        <v>0</v>
      </c>
      <c r="E297" s="209">
        <f>IF(D297=1,HLOOKUP(C297,'計算書（第1回）'!$C$123:$U$124,2,TRUE),0)</f>
        <v>0</v>
      </c>
      <c r="F297" s="209">
        <f>IF('信用保険料計算書（上限2000万）'!$G$15="",0,IF($B297&lt;'信用保険料計算書（上限2000万）'!$G$15,0,IF($B297&gt;'信用保険料計算書（上限2000万）'!$G$16,0,1)))</f>
        <v>0</v>
      </c>
      <c r="G297" s="209">
        <f>IF(F297=1,HLOOKUP(C297,'計算書（第2回）'!$C$123:$U$124,2,TRUE),0)</f>
        <v>0</v>
      </c>
      <c r="H297" s="209">
        <f>IF('信用保険料計算書（上限2000万）'!$I$15="",0,IF($B297&lt;'信用保険料計算書（上限2000万）'!$I$15,0,IF($B297&gt;'信用保険料計算書（上限2000万）'!$I$16,0,1)))</f>
        <v>0</v>
      </c>
      <c r="I297" s="209">
        <f>IF(H297=1,HLOOKUP(C297,'計算書（第3回）'!$C$123:$U$124,2,TRUE),0)</f>
        <v>0</v>
      </c>
      <c r="J297" s="209">
        <f>IF('信用保険料計算書（上限2000万）'!$K$15="",0,IF($B297&lt;'信用保険料計算書（上限2000万）'!$K$15,0,IF($B297&gt;'信用保険料計算書（上限2000万）'!$K$16,0,1)))</f>
        <v>0</v>
      </c>
      <c r="K297" s="209">
        <f>IF(J297=1,HLOOKUP(C297,'計算書（第4回）'!$C$123:$U$124,2,TRUE),0)</f>
        <v>0</v>
      </c>
      <c r="L297" s="209">
        <f>IF('信用保険料計算書（上限2000万）'!$M$15="",0,IF($B297&lt;'信用保険料計算書（上限2000万）'!$M$15,0,IF($B297&gt;'信用保険料計算書（上限2000万）'!$M$16,0,1)))</f>
        <v>0</v>
      </c>
      <c r="M297" s="209">
        <f>IF(L297=1,HLOOKUP(C297,'計算書（第5回）'!$C$123:$U$124,2,TRUE),0)</f>
        <v>0</v>
      </c>
      <c r="N297" s="209">
        <f>IF('信用保険料計算書（上限2000万）'!$O$15="",0,IF($B297&lt;'信用保険料計算書（上限2000万）'!$O$15,0,IF($B297&gt;'信用保険料計算書（上限2000万）'!$O$16,0,1)))</f>
        <v>0</v>
      </c>
      <c r="O297" s="209">
        <f>IF(N297=1,HLOOKUP(C297,'計算書（第6回）'!$C$123:$U$124,2,TRUE),0)</f>
        <v>0</v>
      </c>
      <c r="P297" s="209">
        <f>IF('信用保険料計算書（上限2000万）'!$Q$15="",0,IF($B297&lt;'信用保険料計算書（上限2000万）'!$Q$15,0,IF($B297&gt;'信用保険料計算書（上限2000万）'!$Q$16,0,1)))</f>
        <v>0</v>
      </c>
      <c r="Q297" s="209">
        <f>IF(P297=1,HLOOKUP(C297,'計算書（第7回）'!$C$123:$U$124,2,TRUE),0)</f>
        <v>0</v>
      </c>
      <c r="R297" s="213"/>
      <c r="S297" s="211">
        <f>COUNTIF($AB$13:$AB$19,"&lt;=2031/10/1")</f>
        <v>2</v>
      </c>
      <c r="T297" s="178">
        <f t="shared" si="30"/>
        <v>44743</v>
      </c>
      <c r="U297" s="181">
        <f t="shared" si="28"/>
        <v>0</v>
      </c>
      <c r="V297" s="182">
        <f t="shared" si="34"/>
        <v>0</v>
      </c>
      <c r="W297" s="245">
        <f t="shared" si="31"/>
        <v>0</v>
      </c>
      <c r="X297" s="182"/>
    </row>
    <row r="298" spans="2:24">
      <c r="B298" s="214">
        <f t="shared" si="29"/>
        <v>49614</v>
      </c>
      <c r="C298" s="198">
        <f t="shared" si="27"/>
        <v>49583</v>
      </c>
      <c r="D298" s="209">
        <f>IF(B298&lt;'信用保険料計算書（上限2000万）'!$E$15,0,IF(B298&gt;'信用保険料計算書（上限2000万）'!$E$16,0,1))</f>
        <v>0</v>
      </c>
      <c r="E298" s="209">
        <f>IF(D298=1,HLOOKUP(C298,'計算書（第1回）'!$C$123:$U$124,2,TRUE),0)</f>
        <v>0</v>
      </c>
      <c r="F298" s="209">
        <f>IF('信用保険料計算書（上限2000万）'!$G$15="",0,IF($B298&lt;'信用保険料計算書（上限2000万）'!$G$15,0,IF($B298&gt;'信用保険料計算書（上限2000万）'!$G$16,0,1)))</f>
        <v>0</v>
      </c>
      <c r="G298" s="209">
        <f>IF(F298=1,HLOOKUP(C298,'計算書（第2回）'!$C$123:$U$124,2,TRUE),0)</f>
        <v>0</v>
      </c>
      <c r="H298" s="209">
        <f>IF('信用保険料計算書（上限2000万）'!$I$15="",0,IF($B298&lt;'信用保険料計算書（上限2000万）'!$I$15,0,IF($B298&gt;'信用保険料計算書（上限2000万）'!$I$16,0,1)))</f>
        <v>0</v>
      </c>
      <c r="I298" s="209">
        <f>IF(H298=1,HLOOKUP(C298,'計算書（第3回）'!$C$123:$U$124,2,TRUE),0)</f>
        <v>0</v>
      </c>
      <c r="J298" s="209">
        <f>IF('信用保険料計算書（上限2000万）'!$K$15="",0,IF($B298&lt;'信用保険料計算書（上限2000万）'!$K$15,0,IF($B298&gt;'信用保険料計算書（上限2000万）'!$K$16,0,1)))</f>
        <v>0</v>
      </c>
      <c r="K298" s="209">
        <f>IF(J298=1,HLOOKUP(C298,'計算書（第4回）'!$C$123:$U$124,2,TRUE),0)</f>
        <v>0</v>
      </c>
      <c r="L298" s="209">
        <f>IF('信用保険料計算書（上限2000万）'!$M$15="",0,IF($B298&lt;'信用保険料計算書（上限2000万）'!$M$15,0,IF($B298&gt;'信用保険料計算書（上限2000万）'!$M$16,0,1)))</f>
        <v>0</v>
      </c>
      <c r="M298" s="209">
        <f>IF(L298=1,HLOOKUP(C298,'計算書（第5回）'!$C$123:$U$124,2,TRUE),0)</f>
        <v>0</v>
      </c>
      <c r="N298" s="209">
        <f>IF('信用保険料計算書（上限2000万）'!$O$15="",0,IF($B298&lt;'信用保険料計算書（上限2000万）'!$O$15,0,IF($B298&gt;'信用保険料計算書（上限2000万）'!$O$16,0,1)))</f>
        <v>0</v>
      </c>
      <c r="O298" s="209">
        <f>IF(N298=1,HLOOKUP(C298,'計算書（第6回）'!$C$123:$U$124,2,TRUE),0)</f>
        <v>0</v>
      </c>
      <c r="P298" s="209">
        <f>IF('信用保険料計算書（上限2000万）'!$Q$15="",0,IF($B298&lt;'信用保険料計算書（上限2000万）'!$Q$15,0,IF($B298&gt;'信用保険料計算書（上限2000万）'!$Q$16,0,1)))</f>
        <v>0</v>
      </c>
      <c r="Q298" s="209">
        <f>IF(P298=1,HLOOKUP(C298,'計算書（第7回）'!$C$123:$U$124,2,TRUE),0)</f>
        <v>0</v>
      </c>
      <c r="R298" s="213"/>
      <c r="S298" s="211">
        <f>COUNTIF($AB$13:$AB$19,"&lt;=2031/11/1")</f>
        <v>2</v>
      </c>
      <c r="T298" s="178">
        <f t="shared" si="30"/>
        <v>44743</v>
      </c>
      <c r="U298" s="181">
        <f t="shared" si="28"/>
        <v>0</v>
      </c>
      <c r="V298" s="182">
        <f t="shared" si="34"/>
        <v>0</v>
      </c>
      <c r="W298" s="245">
        <f t="shared" si="31"/>
        <v>0</v>
      </c>
      <c r="X298" s="182"/>
    </row>
    <row r="299" spans="2:24">
      <c r="B299" s="214">
        <f t="shared" si="29"/>
        <v>49644</v>
      </c>
      <c r="C299" s="198">
        <f t="shared" si="27"/>
        <v>49614</v>
      </c>
      <c r="D299" s="209">
        <f>IF(B299&lt;'信用保険料計算書（上限2000万）'!$E$15,0,IF(B299&gt;'信用保険料計算書（上限2000万）'!$E$16,0,1))</f>
        <v>0</v>
      </c>
      <c r="E299" s="209">
        <f>IF(D299=1,HLOOKUP(C299,'計算書（第1回）'!$C$123:$U$124,2,TRUE),0)</f>
        <v>0</v>
      </c>
      <c r="F299" s="209">
        <f>IF('信用保険料計算書（上限2000万）'!$G$15="",0,IF($B299&lt;'信用保険料計算書（上限2000万）'!$G$15,0,IF($B299&gt;'信用保険料計算書（上限2000万）'!$G$16,0,1)))</f>
        <v>0</v>
      </c>
      <c r="G299" s="209">
        <f>IF(F299=1,HLOOKUP(C299,'計算書（第2回）'!$C$123:$U$124,2,TRUE),0)</f>
        <v>0</v>
      </c>
      <c r="H299" s="209">
        <f>IF('信用保険料計算書（上限2000万）'!$I$15="",0,IF($B299&lt;'信用保険料計算書（上限2000万）'!$I$15,0,IF($B299&gt;'信用保険料計算書（上限2000万）'!$I$16,0,1)))</f>
        <v>0</v>
      </c>
      <c r="I299" s="209">
        <f>IF(H299=1,HLOOKUP(C299,'計算書（第3回）'!$C$123:$U$124,2,TRUE),0)</f>
        <v>0</v>
      </c>
      <c r="J299" s="209">
        <f>IF('信用保険料計算書（上限2000万）'!$K$15="",0,IF($B299&lt;'信用保険料計算書（上限2000万）'!$K$15,0,IF($B299&gt;'信用保険料計算書（上限2000万）'!$K$16,0,1)))</f>
        <v>0</v>
      </c>
      <c r="K299" s="209">
        <f>IF(J299=1,HLOOKUP(C299,'計算書（第4回）'!$C$123:$U$124,2,TRUE),0)</f>
        <v>0</v>
      </c>
      <c r="L299" s="209">
        <f>IF('信用保険料計算書（上限2000万）'!$M$15="",0,IF($B299&lt;'信用保険料計算書（上限2000万）'!$M$15,0,IF($B299&gt;'信用保険料計算書（上限2000万）'!$M$16,0,1)))</f>
        <v>0</v>
      </c>
      <c r="M299" s="209">
        <f>IF(L299=1,HLOOKUP(C299,'計算書（第5回）'!$C$123:$U$124,2,TRUE),0)</f>
        <v>0</v>
      </c>
      <c r="N299" s="209">
        <f>IF('信用保険料計算書（上限2000万）'!$O$15="",0,IF($B299&lt;'信用保険料計算書（上限2000万）'!$O$15,0,IF($B299&gt;'信用保険料計算書（上限2000万）'!$O$16,0,1)))</f>
        <v>0</v>
      </c>
      <c r="O299" s="209">
        <f>IF(N299=1,HLOOKUP(C299,'計算書（第6回）'!$C$123:$U$124,2,TRUE),0)</f>
        <v>0</v>
      </c>
      <c r="P299" s="209">
        <f>IF('信用保険料計算書（上限2000万）'!$Q$15="",0,IF($B299&lt;'信用保険料計算書（上限2000万）'!$Q$15,0,IF($B299&gt;'信用保険料計算書（上限2000万）'!$Q$16,0,1)))</f>
        <v>0</v>
      </c>
      <c r="Q299" s="209">
        <f>IF(P299=1,HLOOKUP(C299,'計算書（第7回）'!$C$123:$U$124,2,TRUE),0)</f>
        <v>0</v>
      </c>
      <c r="R299" s="213"/>
      <c r="S299" s="211">
        <f>COUNTIF($AB$13:$AB$19,"&lt;=2031/12/1")</f>
        <v>2</v>
      </c>
      <c r="T299" s="178">
        <f t="shared" si="30"/>
        <v>44743</v>
      </c>
      <c r="U299" s="181">
        <f t="shared" si="28"/>
        <v>0</v>
      </c>
      <c r="V299" s="182">
        <f t="shared" si="34"/>
        <v>0</v>
      </c>
      <c r="W299" s="245">
        <f t="shared" si="31"/>
        <v>0</v>
      </c>
      <c r="X299" s="182"/>
    </row>
    <row r="300" spans="2:24">
      <c r="B300" s="214">
        <f t="shared" si="29"/>
        <v>49675</v>
      </c>
      <c r="C300" s="198">
        <f t="shared" si="27"/>
        <v>49644</v>
      </c>
      <c r="D300" s="209">
        <f>IF(B300&lt;'信用保険料計算書（上限2000万）'!$E$15,0,IF(B300&gt;'信用保険料計算書（上限2000万）'!$E$16,0,1))</f>
        <v>0</v>
      </c>
      <c r="E300" s="209">
        <f>IF(D300=1,HLOOKUP(C300,'計算書（第1回）'!$C$123:$U$124,2,TRUE),0)</f>
        <v>0</v>
      </c>
      <c r="F300" s="209">
        <f>IF('信用保険料計算書（上限2000万）'!$G$15="",0,IF($B300&lt;'信用保険料計算書（上限2000万）'!$G$15,0,IF($B300&gt;'信用保険料計算書（上限2000万）'!$G$16,0,1)))</f>
        <v>0</v>
      </c>
      <c r="G300" s="209">
        <f>IF(F300=1,HLOOKUP(C300,'計算書（第2回）'!$C$123:$U$124,2,TRUE),0)</f>
        <v>0</v>
      </c>
      <c r="H300" s="209">
        <f>IF('信用保険料計算書（上限2000万）'!$I$15="",0,IF($B300&lt;'信用保険料計算書（上限2000万）'!$I$15,0,IF($B300&gt;'信用保険料計算書（上限2000万）'!$I$16,0,1)))</f>
        <v>0</v>
      </c>
      <c r="I300" s="209">
        <f>IF(H300=1,HLOOKUP(C300,'計算書（第3回）'!$C$123:$U$124,2,TRUE),0)</f>
        <v>0</v>
      </c>
      <c r="J300" s="209">
        <f>IF('信用保険料計算書（上限2000万）'!$K$15="",0,IF($B300&lt;'信用保険料計算書（上限2000万）'!$K$15,0,IF($B300&gt;'信用保険料計算書（上限2000万）'!$K$16,0,1)))</f>
        <v>0</v>
      </c>
      <c r="K300" s="209">
        <f>IF(J300=1,HLOOKUP(C300,'計算書（第4回）'!$C$123:$U$124,2,TRUE),0)</f>
        <v>0</v>
      </c>
      <c r="L300" s="209">
        <f>IF('信用保険料計算書（上限2000万）'!$M$15="",0,IF($B300&lt;'信用保険料計算書（上限2000万）'!$M$15,0,IF($B300&gt;'信用保険料計算書（上限2000万）'!$M$16,0,1)))</f>
        <v>0</v>
      </c>
      <c r="M300" s="209">
        <f>IF(L300=1,HLOOKUP(C300,'計算書（第5回）'!$C$123:$U$124,2,TRUE),0)</f>
        <v>0</v>
      </c>
      <c r="N300" s="209">
        <f>IF('信用保険料計算書（上限2000万）'!$O$15="",0,IF($B300&lt;'信用保険料計算書（上限2000万）'!$O$15,0,IF($B300&gt;'信用保険料計算書（上限2000万）'!$O$16,0,1)))</f>
        <v>0</v>
      </c>
      <c r="O300" s="209">
        <f>IF(N300=1,HLOOKUP(C300,'計算書（第6回）'!$C$123:$U$124,2,TRUE),0)</f>
        <v>0</v>
      </c>
      <c r="P300" s="209">
        <f>IF('信用保険料計算書（上限2000万）'!$Q$15="",0,IF($B300&lt;'信用保険料計算書（上限2000万）'!$Q$15,0,IF($B300&gt;'信用保険料計算書（上限2000万）'!$Q$16,0,1)))</f>
        <v>0</v>
      </c>
      <c r="Q300" s="209">
        <f>IF(P300=1,HLOOKUP(C300,'計算書（第7回）'!$C$123:$U$124,2,TRUE),0)</f>
        <v>0</v>
      </c>
      <c r="R300" s="212"/>
      <c r="S300" s="211">
        <f>COUNTIF($AB$13:$AB$19,"&lt;=2032/1/1")</f>
        <v>2</v>
      </c>
      <c r="T300" s="178">
        <f t="shared" si="30"/>
        <v>44743</v>
      </c>
      <c r="U300" s="181">
        <f t="shared" si="28"/>
        <v>0</v>
      </c>
      <c r="V300" s="182">
        <f t="shared" si="34"/>
        <v>0</v>
      </c>
      <c r="W300" s="245">
        <f t="shared" si="31"/>
        <v>0</v>
      </c>
      <c r="X300" s="182"/>
    </row>
    <row r="301" spans="2:24">
      <c r="B301" s="214">
        <f t="shared" si="29"/>
        <v>49706</v>
      </c>
      <c r="C301" s="198">
        <f t="shared" si="27"/>
        <v>49675</v>
      </c>
      <c r="D301" s="209">
        <f>IF(B301&lt;'信用保険料計算書（上限2000万）'!$E$15,0,IF(B301&gt;'信用保険料計算書（上限2000万）'!$E$16,0,1))</f>
        <v>0</v>
      </c>
      <c r="E301" s="209">
        <f>IF(D301=1,HLOOKUP(C301,'計算書（第1回）'!$C$123:$U$124,2,TRUE),0)</f>
        <v>0</v>
      </c>
      <c r="F301" s="209">
        <f>IF('信用保険料計算書（上限2000万）'!$G$15="",0,IF($B301&lt;'信用保険料計算書（上限2000万）'!$G$15,0,IF($B301&gt;'信用保険料計算書（上限2000万）'!$G$16,0,1)))</f>
        <v>0</v>
      </c>
      <c r="G301" s="209">
        <f>IF(F301=1,HLOOKUP(C301,'計算書（第2回）'!$C$123:$U$124,2,TRUE),0)</f>
        <v>0</v>
      </c>
      <c r="H301" s="209">
        <f>IF('信用保険料計算書（上限2000万）'!$I$15="",0,IF($B301&lt;'信用保険料計算書（上限2000万）'!$I$15,0,IF($B301&gt;'信用保険料計算書（上限2000万）'!$I$16,0,1)))</f>
        <v>0</v>
      </c>
      <c r="I301" s="209">
        <f>IF(H301=1,HLOOKUP(C301,'計算書（第3回）'!$C$123:$U$124,2,TRUE),0)</f>
        <v>0</v>
      </c>
      <c r="J301" s="209">
        <f>IF('信用保険料計算書（上限2000万）'!$K$15="",0,IF($B301&lt;'信用保険料計算書（上限2000万）'!$K$15,0,IF($B301&gt;'信用保険料計算書（上限2000万）'!$K$16,0,1)))</f>
        <v>0</v>
      </c>
      <c r="K301" s="209">
        <f>IF(J301=1,HLOOKUP(C301,'計算書（第4回）'!$C$123:$U$124,2,TRUE),0)</f>
        <v>0</v>
      </c>
      <c r="L301" s="209">
        <f>IF('信用保険料計算書（上限2000万）'!$M$15="",0,IF($B301&lt;'信用保険料計算書（上限2000万）'!$M$15,0,IF($B301&gt;'信用保険料計算書（上限2000万）'!$M$16,0,1)))</f>
        <v>0</v>
      </c>
      <c r="M301" s="209">
        <f>IF(L301=1,HLOOKUP(C301,'計算書（第5回）'!$C$123:$U$124,2,TRUE),0)</f>
        <v>0</v>
      </c>
      <c r="N301" s="209">
        <f>IF('信用保険料計算書（上限2000万）'!$O$15="",0,IF($B301&lt;'信用保険料計算書（上限2000万）'!$O$15,0,IF($B301&gt;'信用保険料計算書（上限2000万）'!$O$16,0,1)))</f>
        <v>0</v>
      </c>
      <c r="O301" s="209">
        <f>IF(N301=1,HLOOKUP(C301,'計算書（第6回）'!$C$123:$U$124,2,TRUE),0)</f>
        <v>0</v>
      </c>
      <c r="P301" s="209">
        <f>IF('信用保険料計算書（上限2000万）'!$Q$15="",0,IF($B301&lt;'信用保険料計算書（上限2000万）'!$Q$15,0,IF($B301&gt;'信用保険料計算書（上限2000万）'!$Q$16,0,1)))</f>
        <v>0</v>
      </c>
      <c r="Q301" s="209">
        <f>IF(P301=1,HLOOKUP(C301,'計算書（第7回）'!$C$123:$U$124,2,TRUE),0)</f>
        <v>0</v>
      </c>
      <c r="R301" s="212"/>
      <c r="S301" s="211">
        <f>COUNTIF($AB$13:$AB$19,"&lt;=2032/2/1")</f>
        <v>2</v>
      </c>
      <c r="T301" s="178">
        <f t="shared" si="30"/>
        <v>44743</v>
      </c>
      <c r="U301" s="181">
        <f t="shared" si="28"/>
        <v>0</v>
      </c>
      <c r="V301" s="182">
        <f t="shared" si="34"/>
        <v>0</v>
      </c>
      <c r="W301" s="245">
        <f t="shared" si="31"/>
        <v>0</v>
      </c>
      <c r="X301" s="182"/>
    </row>
    <row r="302" spans="2:24">
      <c r="B302" s="214">
        <f t="shared" si="29"/>
        <v>49735</v>
      </c>
      <c r="C302" s="198">
        <f t="shared" si="27"/>
        <v>49706</v>
      </c>
      <c r="D302" s="209">
        <f>IF(B302&lt;'信用保険料計算書（上限2000万）'!$E$15,0,IF(B302&gt;'信用保険料計算書（上限2000万）'!$E$16,0,1))</f>
        <v>0</v>
      </c>
      <c r="E302" s="209">
        <f>IF(D302=1,HLOOKUP(C302,'計算書（第1回）'!$C$123:$U$124,2,TRUE),0)</f>
        <v>0</v>
      </c>
      <c r="F302" s="209">
        <f>IF('信用保険料計算書（上限2000万）'!$G$15="",0,IF($B302&lt;'信用保険料計算書（上限2000万）'!$G$15,0,IF($B302&gt;'信用保険料計算書（上限2000万）'!$G$16,0,1)))</f>
        <v>0</v>
      </c>
      <c r="G302" s="209">
        <f>IF(F302=1,HLOOKUP(C302,'計算書（第2回）'!$C$123:$U$124,2,TRUE),0)</f>
        <v>0</v>
      </c>
      <c r="H302" s="209">
        <f>IF('信用保険料計算書（上限2000万）'!$I$15="",0,IF($B302&lt;'信用保険料計算書（上限2000万）'!$I$15,0,IF($B302&gt;'信用保険料計算書（上限2000万）'!$I$16,0,1)))</f>
        <v>0</v>
      </c>
      <c r="I302" s="209">
        <f>IF(H302=1,HLOOKUP(C302,'計算書（第3回）'!$C$123:$U$124,2,TRUE),0)</f>
        <v>0</v>
      </c>
      <c r="J302" s="209">
        <f>IF('信用保険料計算書（上限2000万）'!$K$15="",0,IF($B302&lt;'信用保険料計算書（上限2000万）'!$K$15,0,IF($B302&gt;'信用保険料計算書（上限2000万）'!$K$16,0,1)))</f>
        <v>0</v>
      </c>
      <c r="K302" s="209">
        <f>IF(J302=1,HLOOKUP(C302,'計算書（第4回）'!$C$123:$U$124,2,TRUE),0)</f>
        <v>0</v>
      </c>
      <c r="L302" s="209">
        <f>IF('信用保険料計算書（上限2000万）'!$M$15="",0,IF($B302&lt;'信用保険料計算書（上限2000万）'!$M$15,0,IF($B302&gt;'信用保険料計算書（上限2000万）'!$M$16,0,1)))</f>
        <v>0</v>
      </c>
      <c r="M302" s="209">
        <f>IF(L302=1,HLOOKUP(C302,'計算書（第5回）'!$C$123:$U$124,2,TRUE),0)</f>
        <v>0</v>
      </c>
      <c r="N302" s="209">
        <f>IF('信用保険料計算書（上限2000万）'!$O$15="",0,IF($B302&lt;'信用保険料計算書（上限2000万）'!$O$15,0,IF($B302&gt;'信用保険料計算書（上限2000万）'!$O$16,0,1)))</f>
        <v>0</v>
      </c>
      <c r="O302" s="209">
        <f>IF(N302=1,HLOOKUP(C302,'計算書（第6回）'!$C$123:$U$124,2,TRUE),0)</f>
        <v>0</v>
      </c>
      <c r="P302" s="209">
        <f>IF('信用保険料計算書（上限2000万）'!$Q$15="",0,IF($B302&lt;'信用保険料計算書（上限2000万）'!$Q$15,0,IF($B302&gt;'信用保険料計算書（上限2000万）'!$Q$16,0,1)))</f>
        <v>0</v>
      </c>
      <c r="Q302" s="209">
        <f>IF(P302=1,HLOOKUP(C302,'計算書（第7回）'!$C$123:$U$124,2,TRUE),0)</f>
        <v>0</v>
      </c>
      <c r="R302" s="212"/>
      <c r="S302" s="211">
        <f>COUNTIF($AB$13:$AB$19,"&lt;=2032/3/1")</f>
        <v>2</v>
      </c>
      <c r="T302" s="178">
        <f t="shared" si="30"/>
        <v>44743</v>
      </c>
      <c r="U302" s="181">
        <f t="shared" si="28"/>
        <v>0</v>
      </c>
      <c r="V302" s="182">
        <f t="shared" si="34"/>
        <v>0</v>
      </c>
      <c r="W302" s="245">
        <f t="shared" si="31"/>
        <v>0</v>
      </c>
      <c r="X302" s="183">
        <f>INT(SUM(W297:W302))</f>
        <v>0</v>
      </c>
    </row>
    <row r="303" spans="2:24">
      <c r="B303" s="214">
        <f t="shared" si="29"/>
        <v>49766</v>
      </c>
      <c r="C303" s="198">
        <f t="shared" si="27"/>
        <v>49735</v>
      </c>
      <c r="D303" s="209">
        <f>IF(B303&lt;'信用保険料計算書（上限2000万）'!$E$15,0,IF(B303&gt;'信用保険料計算書（上限2000万）'!$E$16,0,1))</f>
        <v>0</v>
      </c>
      <c r="E303" s="209">
        <f>IF(D303=1,HLOOKUP(C303,'計算書（第1回）'!$C$123:$U$124,2,TRUE),0)</f>
        <v>0</v>
      </c>
      <c r="F303" s="209">
        <f>IF('信用保険料計算書（上限2000万）'!$G$15="",0,IF($B303&lt;'信用保険料計算書（上限2000万）'!$G$15,0,IF($B303&gt;'信用保険料計算書（上限2000万）'!$G$16,0,1)))</f>
        <v>0</v>
      </c>
      <c r="G303" s="209">
        <f>IF(F303=1,HLOOKUP(C303,'計算書（第2回）'!$C$123:$U$124,2,TRUE),0)</f>
        <v>0</v>
      </c>
      <c r="H303" s="209">
        <f>IF('信用保険料計算書（上限2000万）'!$I$15="",0,IF($B303&lt;'信用保険料計算書（上限2000万）'!$I$15,0,IF($B303&gt;'信用保険料計算書（上限2000万）'!$I$16,0,1)))</f>
        <v>0</v>
      </c>
      <c r="I303" s="209">
        <f>IF(H303=1,HLOOKUP(C303,'計算書（第3回）'!$C$123:$U$124,2,TRUE),0)</f>
        <v>0</v>
      </c>
      <c r="J303" s="209">
        <f>IF('信用保険料計算書（上限2000万）'!$K$15="",0,IF($B303&lt;'信用保険料計算書（上限2000万）'!$K$15,0,IF($B303&gt;'信用保険料計算書（上限2000万）'!$K$16,0,1)))</f>
        <v>0</v>
      </c>
      <c r="K303" s="209">
        <f>IF(J303=1,HLOOKUP(C303,'計算書（第4回）'!$C$123:$U$124,2,TRUE),0)</f>
        <v>0</v>
      </c>
      <c r="L303" s="209">
        <f>IF('信用保険料計算書（上限2000万）'!$M$15="",0,IF($B303&lt;'信用保険料計算書（上限2000万）'!$M$15,0,IF($B303&gt;'信用保険料計算書（上限2000万）'!$M$16,0,1)))</f>
        <v>0</v>
      </c>
      <c r="M303" s="209">
        <f>IF(L303=1,HLOOKUP(C303,'計算書（第5回）'!$C$123:$U$124,2,TRUE),0)</f>
        <v>0</v>
      </c>
      <c r="N303" s="209">
        <f>IF('信用保険料計算書（上限2000万）'!$O$15="",0,IF($B303&lt;'信用保険料計算書（上限2000万）'!$O$15,0,IF($B303&gt;'信用保険料計算書（上限2000万）'!$O$16,0,1)))</f>
        <v>0</v>
      </c>
      <c r="O303" s="209">
        <f>IF(N303=1,HLOOKUP(C303,'計算書（第6回）'!$C$123:$U$124,2,TRUE),0)</f>
        <v>0</v>
      </c>
      <c r="P303" s="209">
        <f>IF('信用保険料計算書（上限2000万）'!$Q$15="",0,IF($B303&lt;'信用保険料計算書（上限2000万）'!$Q$15,0,IF($B303&gt;'信用保険料計算書（上限2000万）'!$Q$16,0,1)))</f>
        <v>0</v>
      </c>
      <c r="Q303" s="209">
        <f>IF(P303=1,HLOOKUP(C303,'計算書（第7回）'!$C$123:$U$124,2,TRUE),0)</f>
        <v>0</v>
      </c>
      <c r="R303" s="213"/>
      <c r="S303" s="211">
        <f>COUNTIF($AB$13:$AB$19,"&lt;=2031/4/1")</f>
        <v>2</v>
      </c>
      <c r="T303" s="178">
        <f t="shared" si="30"/>
        <v>44743</v>
      </c>
      <c r="U303" s="181">
        <f t="shared" si="28"/>
        <v>0</v>
      </c>
      <c r="V303" s="182">
        <f t="shared" ref="V303:V314" si="35">IF(U303=0,0,IF(U303&gt;VLOOKUP(T303,$AA$5:$AB$8,2,TRUE),VLOOKUP(T303,$AA$5:$AB$8,2,TRUE),U303))</f>
        <v>0</v>
      </c>
      <c r="W303" s="245">
        <f t="shared" si="31"/>
        <v>0</v>
      </c>
      <c r="X303" s="182"/>
    </row>
    <row r="304" spans="2:24">
      <c r="B304" s="214">
        <f t="shared" si="29"/>
        <v>49796</v>
      </c>
      <c r="C304" s="198">
        <f t="shared" si="27"/>
        <v>49766</v>
      </c>
      <c r="D304" s="209">
        <f>IF(B304&lt;'信用保険料計算書（上限2000万）'!$E$15,0,IF(B304&gt;'信用保険料計算書（上限2000万）'!$E$16,0,1))</f>
        <v>0</v>
      </c>
      <c r="E304" s="209">
        <f>IF(D304=1,HLOOKUP(C304,'計算書（第1回）'!$C$123:$U$124,2,TRUE),0)</f>
        <v>0</v>
      </c>
      <c r="F304" s="209">
        <f>IF('信用保険料計算書（上限2000万）'!$G$15="",0,IF($B304&lt;'信用保険料計算書（上限2000万）'!$G$15,0,IF($B304&gt;'信用保険料計算書（上限2000万）'!$G$16,0,1)))</f>
        <v>0</v>
      </c>
      <c r="G304" s="209">
        <f>IF(F304=1,HLOOKUP(C304,'計算書（第2回）'!$C$123:$U$124,2,TRUE),0)</f>
        <v>0</v>
      </c>
      <c r="H304" s="209">
        <f>IF('信用保険料計算書（上限2000万）'!$I$15="",0,IF($B304&lt;'信用保険料計算書（上限2000万）'!$I$15,0,IF($B304&gt;'信用保険料計算書（上限2000万）'!$I$16,0,1)))</f>
        <v>0</v>
      </c>
      <c r="I304" s="209">
        <f>IF(H304=1,HLOOKUP(C304,'計算書（第3回）'!$C$123:$U$124,2,TRUE),0)</f>
        <v>0</v>
      </c>
      <c r="J304" s="209">
        <f>IF('信用保険料計算書（上限2000万）'!$K$15="",0,IF($B304&lt;'信用保険料計算書（上限2000万）'!$K$15,0,IF($B304&gt;'信用保険料計算書（上限2000万）'!$K$16,0,1)))</f>
        <v>0</v>
      </c>
      <c r="K304" s="209">
        <f>IF(J304=1,HLOOKUP(C304,'計算書（第4回）'!$C$123:$U$124,2,TRUE),0)</f>
        <v>0</v>
      </c>
      <c r="L304" s="209">
        <f>IF('信用保険料計算書（上限2000万）'!$M$15="",0,IF($B304&lt;'信用保険料計算書（上限2000万）'!$M$15,0,IF($B304&gt;'信用保険料計算書（上限2000万）'!$M$16,0,1)))</f>
        <v>0</v>
      </c>
      <c r="M304" s="209">
        <f>IF(L304=1,HLOOKUP(C304,'計算書（第5回）'!$C$123:$U$124,2,TRUE),0)</f>
        <v>0</v>
      </c>
      <c r="N304" s="209">
        <f>IF('信用保険料計算書（上限2000万）'!$O$15="",0,IF($B304&lt;'信用保険料計算書（上限2000万）'!$O$15,0,IF($B304&gt;'信用保険料計算書（上限2000万）'!$O$16,0,1)))</f>
        <v>0</v>
      </c>
      <c r="O304" s="209">
        <f>IF(N304=1,HLOOKUP(C304,'計算書（第6回）'!$C$123:$U$124,2,TRUE),0)</f>
        <v>0</v>
      </c>
      <c r="P304" s="209">
        <f>IF('信用保険料計算書（上限2000万）'!$Q$15="",0,IF($B304&lt;'信用保険料計算書（上限2000万）'!$Q$15,0,IF($B304&gt;'信用保険料計算書（上限2000万）'!$Q$16,0,1)))</f>
        <v>0</v>
      </c>
      <c r="Q304" s="209">
        <f>IF(P304=1,HLOOKUP(C304,'計算書（第7回）'!$C$123:$U$124,2,TRUE),0)</f>
        <v>0</v>
      </c>
      <c r="R304" s="213"/>
      <c r="S304" s="211">
        <f>COUNTIF($AB$13:$AB$19,"&lt;=2031/5/1")</f>
        <v>2</v>
      </c>
      <c r="T304" s="178">
        <f t="shared" si="30"/>
        <v>44743</v>
      </c>
      <c r="U304" s="181">
        <f t="shared" si="28"/>
        <v>0</v>
      </c>
      <c r="V304" s="182">
        <f t="shared" si="35"/>
        <v>0</v>
      </c>
      <c r="W304" s="245">
        <f t="shared" si="31"/>
        <v>0</v>
      </c>
      <c r="X304" s="182"/>
    </row>
    <row r="305" spans="2:24">
      <c r="B305" s="214">
        <f t="shared" si="29"/>
        <v>49827</v>
      </c>
      <c r="C305" s="198">
        <f t="shared" si="27"/>
        <v>49796</v>
      </c>
      <c r="D305" s="209">
        <f>IF(B305&lt;'信用保険料計算書（上限2000万）'!$E$15,0,IF(B305&gt;'信用保険料計算書（上限2000万）'!$E$16,0,1))</f>
        <v>0</v>
      </c>
      <c r="E305" s="209">
        <f>IF(D305=1,HLOOKUP(C305,'計算書（第1回）'!$C$123:$U$124,2,TRUE),0)</f>
        <v>0</v>
      </c>
      <c r="F305" s="209">
        <f>IF('信用保険料計算書（上限2000万）'!$G$15="",0,IF($B305&lt;'信用保険料計算書（上限2000万）'!$G$15,0,IF($B305&gt;'信用保険料計算書（上限2000万）'!$G$16,0,1)))</f>
        <v>0</v>
      </c>
      <c r="G305" s="209">
        <f>IF(F305=1,HLOOKUP(C305,'計算書（第2回）'!$C$123:$U$124,2,TRUE),0)</f>
        <v>0</v>
      </c>
      <c r="H305" s="209">
        <f>IF('信用保険料計算書（上限2000万）'!$I$15="",0,IF($B305&lt;'信用保険料計算書（上限2000万）'!$I$15,0,IF($B305&gt;'信用保険料計算書（上限2000万）'!$I$16,0,1)))</f>
        <v>0</v>
      </c>
      <c r="I305" s="209">
        <f>IF(H305=1,HLOOKUP(C305,'計算書（第3回）'!$C$123:$U$124,2,TRUE),0)</f>
        <v>0</v>
      </c>
      <c r="J305" s="209">
        <f>IF('信用保険料計算書（上限2000万）'!$K$15="",0,IF($B305&lt;'信用保険料計算書（上限2000万）'!$K$15,0,IF($B305&gt;'信用保険料計算書（上限2000万）'!$K$16,0,1)))</f>
        <v>0</v>
      </c>
      <c r="K305" s="209">
        <f>IF(J305=1,HLOOKUP(C305,'計算書（第4回）'!$C$123:$U$124,2,TRUE),0)</f>
        <v>0</v>
      </c>
      <c r="L305" s="209">
        <f>IF('信用保険料計算書（上限2000万）'!$M$15="",0,IF($B305&lt;'信用保険料計算書（上限2000万）'!$M$15,0,IF($B305&gt;'信用保険料計算書（上限2000万）'!$M$16,0,1)))</f>
        <v>0</v>
      </c>
      <c r="M305" s="209">
        <f>IF(L305=1,HLOOKUP(C305,'計算書（第5回）'!$C$123:$U$124,2,TRUE),0)</f>
        <v>0</v>
      </c>
      <c r="N305" s="209">
        <f>IF('信用保険料計算書（上限2000万）'!$O$15="",0,IF($B305&lt;'信用保険料計算書（上限2000万）'!$O$15,0,IF($B305&gt;'信用保険料計算書（上限2000万）'!$O$16,0,1)))</f>
        <v>0</v>
      </c>
      <c r="O305" s="209">
        <f>IF(N305=1,HLOOKUP(C305,'計算書（第6回）'!$C$123:$U$124,2,TRUE),0)</f>
        <v>0</v>
      </c>
      <c r="P305" s="209">
        <f>IF('信用保険料計算書（上限2000万）'!$Q$15="",0,IF($B305&lt;'信用保険料計算書（上限2000万）'!$Q$15,0,IF($B305&gt;'信用保険料計算書（上限2000万）'!$Q$16,0,1)))</f>
        <v>0</v>
      </c>
      <c r="Q305" s="209">
        <f>IF(P305=1,HLOOKUP(C305,'計算書（第7回）'!$C$123:$U$124,2,TRUE),0)</f>
        <v>0</v>
      </c>
      <c r="R305" s="213"/>
      <c r="S305" s="211">
        <f>COUNTIF($AB$13:$AB$19,"&lt;=2031/6/1")</f>
        <v>2</v>
      </c>
      <c r="T305" s="178">
        <f t="shared" si="30"/>
        <v>44743</v>
      </c>
      <c r="U305" s="181">
        <f t="shared" si="28"/>
        <v>0</v>
      </c>
      <c r="V305" s="182">
        <f t="shared" si="35"/>
        <v>0</v>
      </c>
      <c r="W305" s="245">
        <f t="shared" si="31"/>
        <v>0</v>
      </c>
      <c r="X305" s="182"/>
    </row>
    <row r="306" spans="2:24">
      <c r="B306" s="214">
        <f t="shared" si="29"/>
        <v>49857</v>
      </c>
      <c r="C306" s="198">
        <f t="shared" si="27"/>
        <v>49827</v>
      </c>
      <c r="D306" s="209">
        <f>IF(B306&lt;'信用保険料計算書（上限2000万）'!$E$15,0,IF(B306&gt;'信用保険料計算書（上限2000万）'!$E$16,0,1))</f>
        <v>0</v>
      </c>
      <c r="E306" s="209">
        <f>IF(D306=1,HLOOKUP(C306,'計算書（第1回）'!$C$123:$U$124,2,TRUE),0)</f>
        <v>0</v>
      </c>
      <c r="F306" s="209">
        <f>IF('信用保険料計算書（上限2000万）'!$G$15="",0,IF($B306&lt;'信用保険料計算書（上限2000万）'!$G$15,0,IF($B306&gt;'信用保険料計算書（上限2000万）'!$G$16,0,1)))</f>
        <v>0</v>
      </c>
      <c r="G306" s="209">
        <f>IF(F306=1,HLOOKUP(C306,'計算書（第2回）'!$C$123:$U$124,2,TRUE),0)</f>
        <v>0</v>
      </c>
      <c r="H306" s="209">
        <f>IF('信用保険料計算書（上限2000万）'!$I$15="",0,IF($B306&lt;'信用保険料計算書（上限2000万）'!$I$15,0,IF($B306&gt;'信用保険料計算書（上限2000万）'!$I$16,0,1)))</f>
        <v>0</v>
      </c>
      <c r="I306" s="209">
        <f>IF(H306=1,HLOOKUP(C306,'計算書（第3回）'!$C$123:$U$124,2,TRUE),0)</f>
        <v>0</v>
      </c>
      <c r="J306" s="209">
        <f>IF('信用保険料計算書（上限2000万）'!$K$15="",0,IF($B306&lt;'信用保険料計算書（上限2000万）'!$K$15,0,IF($B306&gt;'信用保険料計算書（上限2000万）'!$K$16,0,1)))</f>
        <v>0</v>
      </c>
      <c r="K306" s="209">
        <f>IF(J306=1,HLOOKUP(C306,'計算書（第4回）'!$C$123:$U$124,2,TRUE),0)</f>
        <v>0</v>
      </c>
      <c r="L306" s="209">
        <f>IF('信用保険料計算書（上限2000万）'!$M$15="",0,IF($B306&lt;'信用保険料計算書（上限2000万）'!$M$15,0,IF($B306&gt;'信用保険料計算書（上限2000万）'!$M$16,0,1)))</f>
        <v>0</v>
      </c>
      <c r="M306" s="209">
        <f>IF(L306=1,HLOOKUP(C306,'計算書（第5回）'!$C$123:$U$124,2,TRUE),0)</f>
        <v>0</v>
      </c>
      <c r="N306" s="209">
        <f>IF('信用保険料計算書（上限2000万）'!$O$15="",0,IF($B306&lt;'信用保険料計算書（上限2000万）'!$O$15,0,IF($B306&gt;'信用保険料計算書（上限2000万）'!$O$16,0,1)))</f>
        <v>0</v>
      </c>
      <c r="O306" s="209">
        <f>IF(N306=1,HLOOKUP(C306,'計算書（第6回）'!$C$123:$U$124,2,TRUE),0)</f>
        <v>0</v>
      </c>
      <c r="P306" s="209">
        <f>IF('信用保険料計算書（上限2000万）'!$Q$15="",0,IF($B306&lt;'信用保険料計算書（上限2000万）'!$Q$15,0,IF($B306&gt;'信用保険料計算書（上限2000万）'!$Q$16,0,1)))</f>
        <v>0</v>
      </c>
      <c r="Q306" s="209">
        <f>IF(P306=1,HLOOKUP(C306,'計算書（第7回）'!$C$123:$U$124,2,TRUE),0)</f>
        <v>0</v>
      </c>
      <c r="R306" s="213"/>
      <c r="S306" s="211">
        <f>COUNTIF($AB$13:$AB$19,"&lt;=2031/7/1")</f>
        <v>2</v>
      </c>
      <c r="T306" s="178">
        <f t="shared" si="30"/>
        <v>44743</v>
      </c>
      <c r="U306" s="181">
        <f t="shared" si="28"/>
        <v>0</v>
      </c>
      <c r="V306" s="182">
        <f t="shared" si="35"/>
        <v>0</v>
      </c>
      <c r="W306" s="245">
        <f t="shared" si="31"/>
        <v>0</v>
      </c>
      <c r="X306" s="182"/>
    </row>
    <row r="307" spans="2:24">
      <c r="B307" s="214">
        <f t="shared" si="29"/>
        <v>49888</v>
      </c>
      <c r="C307" s="198">
        <f t="shared" si="27"/>
        <v>49857</v>
      </c>
      <c r="D307" s="209">
        <f>IF(B307&lt;'信用保険料計算書（上限2000万）'!$E$15,0,IF(B307&gt;'信用保険料計算書（上限2000万）'!$E$16,0,1))</f>
        <v>0</v>
      </c>
      <c r="E307" s="209">
        <f>IF(D307=1,HLOOKUP(C307,'計算書（第1回）'!$C$123:$U$124,2,TRUE),0)</f>
        <v>0</v>
      </c>
      <c r="F307" s="209">
        <f>IF('信用保険料計算書（上限2000万）'!$G$15="",0,IF($B307&lt;'信用保険料計算書（上限2000万）'!$G$15,0,IF($B307&gt;'信用保険料計算書（上限2000万）'!$G$16,0,1)))</f>
        <v>0</v>
      </c>
      <c r="G307" s="209">
        <f>IF(F307=1,HLOOKUP(C307,'計算書（第2回）'!$C$123:$U$124,2,TRUE),0)</f>
        <v>0</v>
      </c>
      <c r="H307" s="209">
        <f>IF('信用保険料計算書（上限2000万）'!$I$15="",0,IF($B307&lt;'信用保険料計算書（上限2000万）'!$I$15,0,IF($B307&gt;'信用保険料計算書（上限2000万）'!$I$16,0,1)))</f>
        <v>0</v>
      </c>
      <c r="I307" s="209">
        <f>IF(H307=1,HLOOKUP(C307,'計算書（第3回）'!$C$123:$U$124,2,TRUE),0)</f>
        <v>0</v>
      </c>
      <c r="J307" s="209">
        <f>IF('信用保険料計算書（上限2000万）'!$K$15="",0,IF($B307&lt;'信用保険料計算書（上限2000万）'!$K$15,0,IF($B307&gt;'信用保険料計算書（上限2000万）'!$K$16,0,1)))</f>
        <v>0</v>
      </c>
      <c r="K307" s="209">
        <f>IF(J307=1,HLOOKUP(C307,'計算書（第4回）'!$C$123:$U$124,2,TRUE),0)</f>
        <v>0</v>
      </c>
      <c r="L307" s="209">
        <f>IF('信用保険料計算書（上限2000万）'!$M$15="",0,IF($B307&lt;'信用保険料計算書（上限2000万）'!$M$15,0,IF($B307&gt;'信用保険料計算書（上限2000万）'!$M$16,0,1)))</f>
        <v>0</v>
      </c>
      <c r="M307" s="209">
        <f>IF(L307=1,HLOOKUP(C307,'計算書（第5回）'!$C$123:$U$124,2,TRUE),0)</f>
        <v>0</v>
      </c>
      <c r="N307" s="209">
        <f>IF('信用保険料計算書（上限2000万）'!$O$15="",0,IF($B307&lt;'信用保険料計算書（上限2000万）'!$O$15,0,IF($B307&gt;'信用保険料計算書（上限2000万）'!$O$16,0,1)))</f>
        <v>0</v>
      </c>
      <c r="O307" s="209">
        <f>IF(N307=1,HLOOKUP(C307,'計算書（第6回）'!$C$123:$U$124,2,TRUE),0)</f>
        <v>0</v>
      </c>
      <c r="P307" s="209">
        <f>IF('信用保険料計算書（上限2000万）'!$Q$15="",0,IF($B307&lt;'信用保険料計算書（上限2000万）'!$Q$15,0,IF($B307&gt;'信用保険料計算書（上限2000万）'!$Q$16,0,1)))</f>
        <v>0</v>
      </c>
      <c r="Q307" s="209">
        <f>IF(P307=1,HLOOKUP(C307,'計算書（第7回）'!$C$123:$U$124,2,TRUE),0)</f>
        <v>0</v>
      </c>
      <c r="R307" s="213"/>
      <c r="S307" s="211">
        <f>COUNTIF($AB$13:$AB$19,"&lt;=2031/8/1")</f>
        <v>2</v>
      </c>
      <c r="T307" s="178">
        <f t="shared" si="30"/>
        <v>44743</v>
      </c>
      <c r="U307" s="181">
        <f t="shared" si="28"/>
        <v>0</v>
      </c>
      <c r="V307" s="182">
        <f t="shared" si="35"/>
        <v>0</v>
      </c>
      <c r="W307" s="245">
        <f t="shared" si="31"/>
        <v>0</v>
      </c>
      <c r="X307" s="182"/>
    </row>
    <row r="308" spans="2:24">
      <c r="B308" s="214">
        <f t="shared" si="29"/>
        <v>49919</v>
      </c>
      <c r="C308" s="198">
        <f t="shared" si="27"/>
        <v>49888</v>
      </c>
      <c r="D308" s="209">
        <f>IF(B308&lt;'信用保険料計算書（上限2000万）'!$E$15,0,IF(B308&gt;'信用保険料計算書（上限2000万）'!$E$16,0,1))</f>
        <v>0</v>
      </c>
      <c r="E308" s="209">
        <f>IF(D308=1,HLOOKUP(C308,'計算書（第1回）'!$C$123:$U$124,2,TRUE),0)</f>
        <v>0</v>
      </c>
      <c r="F308" s="209">
        <f>IF('信用保険料計算書（上限2000万）'!$G$15="",0,IF($B308&lt;'信用保険料計算書（上限2000万）'!$G$15,0,IF($B308&gt;'信用保険料計算書（上限2000万）'!$G$16,0,1)))</f>
        <v>0</v>
      </c>
      <c r="G308" s="209">
        <f>IF(F308=1,HLOOKUP(C308,'計算書（第2回）'!$C$123:$U$124,2,TRUE),0)</f>
        <v>0</v>
      </c>
      <c r="H308" s="209">
        <f>IF('信用保険料計算書（上限2000万）'!$I$15="",0,IF($B308&lt;'信用保険料計算書（上限2000万）'!$I$15,0,IF($B308&gt;'信用保険料計算書（上限2000万）'!$I$16,0,1)))</f>
        <v>0</v>
      </c>
      <c r="I308" s="209">
        <f>IF(H308=1,HLOOKUP(C308,'計算書（第3回）'!$C$123:$U$124,2,TRUE),0)</f>
        <v>0</v>
      </c>
      <c r="J308" s="209">
        <f>IF('信用保険料計算書（上限2000万）'!$K$15="",0,IF($B308&lt;'信用保険料計算書（上限2000万）'!$K$15,0,IF($B308&gt;'信用保険料計算書（上限2000万）'!$K$16,0,1)))</f>
        <v>0</v>
      </c>
      <c r="K308" s="209">
        <f>IF(J308=1,HLOOKUP(C308,'計算書（第4回）'!$C$123:$U$124,2,TRUE),0)</f>
        <v>0</v>
      </c>
      <c r="L308" s="209">
        <f>IF('信用保険料計算書（上限2000万）'!$M$15="",0,IF($B308&lt;'信用保険料計算書（上限2000万）'!$M$15,0,IF($B308&gt;'信用保険料計算書（上限2000万）'!$M$16,0,1)))</f>
        <v>0</v>
      </c>
      <c r="M308" s="209">
        <f>IF(L308=1,HLOOKUP(C308,'計算書（第5回）'!$C$123:$U$124,2,TRUE),0)</f>
        <v>0</v>
      </c>
      <c r="N308" s="209">
        <f>IF('信用保険料計算書（上限2000万）'!$O$15="",0,IF($B308&lt;'信用保険料計算書（上限2000万）'!$O$15,0,IF($B308&gt;'信用保険料計算書（上限2000万）'!$O$16,0,1)))</f>
        <v>0</v>
      </c>
      <c r="O308" s="209">
        <f>IF(N308=1,HLOOKUP(C308,'計算書（第6回）'!$C$123:$U$124,2,TRUE),0)</f>
        <v>0</v>
      </c>
      <c r="P308" s="209">
        <f>IF('信用保険料計算書（上限2000万）'!$Q$15="",0,IF($B308&lt;'信用保険料計算書（上限2000万）'!$Q$15,0,IF($B308&gt;'信用保険料計算書（上限2000万）'!$Q$16,0,1)))</f>
        <v>0</v>
      </c>
      <c r="Q308" s="209">
        <f>IF(P308=1,HLOOKUP(C308,'計算書（第7回）'!$C$123:$U$124,2,TRUE),0)</f>
        <v>0</v>
      </c>
      <c r="R308" s="213"/>
      <c r="S308" s="211">
        <f>COUNTIF($AB$13:$AB$19,"&lt;=2031/9/1")</f>
        <v>2</v>
      </c>
      <c r="T308" s="178">
        <f t="shared" si="30"/>
        <v>44743</v>
      </c>
      <c r="U308" s="181">
        <f t="shared" si="28"/>
        <v>0</v>
      </c>
      <c r="V308" s="182">
        <f t="shared" si="35"/>
        <v>0</v>
      </c>
      <c r="W308" s="245">
        <f t="shared" si="31"/>
        <v>0</v>
      </c>
      <c r="X308" s="183">
        <f>INT(SUM(W303:W308))</f>
        <v>0</v>
      </c>
    </row>
    <row r="309" spans="2:24">
      <c r="B309" s="214">
        <f t="shared" si="29"/>
        <v>49949</v>
      </c>
      <c r="C309" s="198">
        <f t="shared" si="27"/>
        <v>49919</v>
      </c>
      <c r="D309" s="209">
        <f>IF(B309&lt;'信用保険料計算書（上限2000万）'!$E$15,0,IF(B309&gt;'信用保険料計算書（上限2000万）'!$E$16,0,1))</f>
        <v>0</v>
      </c>
      <c r="E309" s="209">
        <f>IF(D309=1,HLOOKUP(C309,'計算書（第1回）'!$C$123:$U$124,2,TRUE),0)</f>
        <v>0</v>
      </c>
      <c r="F309" s="209">
        <f>IF('信用保険料計算書（上限2000万）'!$G$15="",0,IF($B309&lt;'信用保険料計算書（上限2000万）'!$G$15,0,IF($B309&gt;'信用保険料計算書（上限2000万）'!$G$16,0,1)))</f>
        <v>0</v>
      </c>
      <c r="G309" s="209">
        <f>IF(F309=1,HLOOKUP(C309,'計算書（第2回）'!$C$123:$U$124,2,TRUE),0)</f>
        <v>0</v>
      </c>
      <c r="H309" s="209">
        <f>IF('信用保険料計算書（上限2000万）'!$I$15="",0,IF($B309&lt;'信用保険料計算書（上限2000万）'!$I$15,0,IF($B309&gt;'信用保険料計算書（上限2000万）'!$I$16,0,1)))</f>
        <v>0</v>
      </c>
      <c r="I309" s="209">
        <f>IF(H309=1,HLOOKUP(C309,'計算書（第3回）'!$C$123:$U$124,2,TRUE),0)</f>
        <v>0</v>
      </c>
      <c r="J309" s="209">
        <f>IF('信用保険料計算書（上限2000万）'!$K$15="",0,IF($B309&lt;'信用保険料計算書（上限2000万）'!$K$15,0,IF($B309&gt;'信用保険料計算書（上限2000万）'!$K$16,0,1)))</f>
        <v>0</v>
      </c>
      <c r="K309" s="209">
        <f>IF(J309=1,HLOOKUP(C309,'計算書（第4回）'!$C$123:$U$124,2,TRUE),0)</f>
        <v>0</v>
      </c>
      <c r="L309" s="209">
        <f>IF('信用保険料計算書（上限2000万）'!$M$15="",0,IF($B309&lt;'信用保険料計算書（上限2000万）'!$M$15,0,IF($B309&gt;'信用保険料計算書（上限2000万）'!$M$16,0,1)))</f>
        <v>0</v>
      </c>
      <c r="M309" s="209">
        <f>IF(L309=1,HLOOKUP(C309,'計算書（第5回）'!$C$123:$U$124,2,TRUE),0)</f>
        <v>0</v>
      </c>
      <c r="N309" s="209">
        <f>IF('信用保険料計算書（上限2000万）'!$O$15="",0,IF($B309&lt;'信用保険料計算書（上限2000万）'!$O$15,0,IF($B309&gt;'信用保険料計算書（上限2000万）'!$O$16,0,1)))</f>
        <v>0</v>
      </c>
      <c r="O309" s="209">
        <f>IF(N309=1,HLOOKUP(C309,'計算書（第6回）'!$C$123:$U$124,2,TRUE),0)</f>
        <v>0</v>
      </c>
      <c r="P309" s="209">
        <f>IF('信用保険料計算書（上限2000万）'!$Q$15="",0,IF($B309&lt;'信用保険料計算書（上限2000万）'!$Q$15,0,IF($B309&gt;'信用保険料計算書（上限2000万）'!$Q$16,0,1)))</f>
        <v>0</v>
      </c>
      <c r="Q309" s="209">
        <f>IF(P309=1,HLOOKUP(C309,'計算書（第7回）'!$C$123:$U$124,2,TRUE),0)</f>
        <v>0</v>
      </c>
      <c r="R309" s="213"/>
      <c r="S309" s="211">
        <f>COUNTIF($AB$13:$AB$19,"&lt;=2031/10/1")</f>
        <v>2</v>
      </c>
      <c r="T309" s="178">
        <f t="shared" si="30"/>
        <v>44743</v>
      </c>
      <c r="U309" s="181">
        <f t="shared" si="28"/>
        <v>0</v>
      </c>
      <c r="V309" s="182">
        <f t="shared" si="35"/>
        <v>0</v>
      </c>
      <c r="W309" s="245">
        <f t="shared" si="31"/>
        <v>0</v>
      </c>
      <c r="X309" s="182"/>
    </row>
    <row r="310" spans="2:24">
      <c r="B310" s="214">
        <f t="shared" si="29"/>
        <v>49980</v>
      </c>
      <c r="C310" s="198">
        <f t="shared" si="27"/>
        <v>49949</v>
      </c>
      <c r="D310" s="209">
        <f>IF(B310&lt;'信用保険料計算書（上限2000万）'!$E$15,0,IF(B310&gt;'信用保険料計算書（上限2000万）'!$E$16,0,1))</f>
        <v>0</v>
      </c>
      <c r="E310" s="209">
        <f>IF(D310=1,HLOOKUP(C310,'計算書（第1回）'!$C$123:$U$124,2,TRUE),0)</f>
        <v>0</v>
      </c>
      <c r="F310" s="209">
        <f>IF('信用保険料計算書（上限2000万）'!$G$15="",0,IF($B310&lt;'信用保険料計算書（上限2000万）'!$G$15,0,IF($B310&gt;'信用保険料計算書（上限2000万）'!$G$16,0,1)))</f>
        <v>0</v>
      </c>
      <c r="G310" s="209">
        <f>IF(F310=1,HLOOKUP(C310,'計算書（第2回）'!$C$123:$U$124,2,TRUE),0)</f>
        <v>0</v>
      </c>
      <c r="H310" s="209">
        <f>IF('信用保険料計算書（上限2000万）'!$I$15="",0,IF($B310&lt;'信用保険料計算書（上限2000万）'!$I$15,0,IF($B310&gt;'信用保険料計算書（上限2000万）'!$I$16,0,1)))</f>
        <v>0</v>
      </c>
      <c r="I310" s="209">
        <f>IF(H310=1,HLOOKUP(C310,'計算書（第3回）'!$C$123:$U$124,2,TRUE),0)</f>
        <v>0</v>
      </c>
      <c r="J310" s="209">
        <f>IF('信用保険料計算書（上限2000万）'!$K$15="",0,IF($B310&lt;'信用保険料計算書（上限2000万）'!$K$15,0,IF($B310&gt;'信用保険料計算書（上限2000万）'!$K$16,0,1)))</f>
        <v>0</v>
      </c>
      <c r="K310" s="209">
        <f>IF(J310=1,HLOOKUP(C310,'計算書（第4回）'!$C$123:$U$124,2,TRUE),0)</f>
        <v>0</v>
      </c>
      <c r="L310" s="209">
        <f>IF('信用保険料計算書（上限2000万）'!$M$15="",0,IF($B310&lt;'信用保険料計算書（上限2000万）'!$M$15,0,IF($B310&gt;'信用保険料計算書（上限2000万）'!$M$16,0,1)))</f>
        <v>0</v>
      </c>
      <c r="M310" s="209">
        <f>IF(L310=1,HLOOKUP(C310,'計算書（第5回）'!$C$123:$U$124,2,TRUE),0)</f>
        <v>0</v>
      </c>
      <c r="N310" s="209">
        <f>IF('信用保険料計算書（上限2000万）'!$O$15="",0,IF($B310&lt;'信用保険料計算書（上限2000万）'!$O$15,0,IF($B310&gt;'信用保険料計算書（上限2000万）'!$O$16,0,1)))</f>
        <v>0</v>
      </c>
      <c r="O310" s="209">
        <f>IF(N310=1,HLOOKUP(C310,'計算書（第6回）'!$C$123:$U$124,2,TRUE),0)</f>
        <v>0</v>
      </c>
      <c r="P310" s="209">
        <f>IF('信用保険料計算書（上限2000万）'!$Q$15="",0,IF($B310&lt;'信用保険料計算書（上限2000万）'!$Q$15,0,IF($B310&gt;'信用保険料計算書（上限2000万）'!$Q$16,0,1)))</f>
        <v>0</v>
      </c>
      <c r="Q310" s="209">
        <f>IF(P310=1,HLOOKUP(C310,'計算書（第7回）'!$C$123:$U$124,2,TRUE),0)</f>
        <v>0</v>
      </c>
      <c r="R310" s="213"/>
      <c r="S310" s="211">
        <f>COUNTIF($AB$13:$AB$19,"&lt;=2031/11/1")</f>
        <v>2</v>
      </c>
      <c r="T310" s="178">
        <f t="shared" si="30"/>
        <v>44743</v>
      </c>
      <c r="U310" s="181">
        <f t="shared" si="28"/>
        <v>0</v>
      </c>
      <c r="V310" s="182">
        <f t="shared" si="35"/>
        <v>0</v>
      </c>
      <c r="W310" s="245">
        <f t="shared" si="31"/>
        <v>0</v>
      </c>
      <c r="X310" s="182"/>
    </row>
    <row r="311" spans="2:24">
      <c r="B311" s="214">
        <f t="shared" si="29"/>
        <v>50010</v>
      </c>
      <c r="C311" s="198">
        <f t="shared" si="27"/>
        <v>49980</v>
      </c>
      <c r="D311" s="209">
        <f>IF(B311&lt;'信用保険料計算書（上限2000万）'!$E$15,0,IF(B311&gt;'信用保険料計算書（上限2000万）'!$E$16,0,1))</f>
        <v>0</v>
      </c>
      <c r="E311" s="209">
        <f>IF(D311=1,HLOOKUP(C311,'計算書（第1回）'!$C$123:$U$124,2,TRUE),0)</f>
        <v>0</v>
      </c>
      <c r="F311" s="209">
        <f>IF('信用保険料計算書（上限2000万）'!$G$15="",0,IF($B311&lt;'信用保険料計算書（上限2000万）'!$G$15,0,IF($B311&gt;'信用保険料計算書（上限2000万）'!$G$16,0,1)))</f>
        <v>0</v>
      </c>
      <c r="G311" s="209">
        <f>IF(F311=1,HLOOKUP(C311,'計算書（第2回）'!$C$123:$U$124,2,TRUE),0)</f>
        <v>0</v>
      </c>
      <c r="H311" s="209">
        <f>IF('信用保険料計算書（上限2000万）'!$I$15="",0,IF($B311&lt;'信用保険料計算書（上限2000万）'!$I$15,0,IF($B311&gt;'信用保険料計算書（上限2000万）'!$I$16,0,1)))</f>
        <v>0</v>
      </c>
      <c r="I311" s="209">
        <f>IF(H311=1,HLOOKUP(C311,'計算書（第3回）'!$C$123:$U$124,2,TRUE),0)</f>
        <v>0</v>
      </c>
      <c r="J311" s="209">
        <f>IF('信用保険料計算書（上限2000万）'!$K$15="",0,IF($B311&lt;'信用保険料計算書（上限2000万）'!$K$15,0,IF($B311&gt;'信用保険料計算書（上限2000万）'!$K$16,0,1)))</f>
        <v>0</v>
      </c>
      <c r="K311" s="209">
        <f>IF(J311=1,HLOOKUP(C311,'計算書（第4回）'!$C$123:$U$124,2,TRUE),0)</f>
        <v>0</v>
      </c>
      <c r="L311" s="209">
        <f>IF('信用保険料計算書（上限2000万）'!$M$15="",0,IF($B311&lt;'信用保険料計算書（上限2000万）'!$M$15,0,IF($B311&gt;'信用保険料計算書（上限2000万）'!$M$16,0,1)))</f>
        <v>0</v>
      </c>
      <c r="M311" s="209">
        <f>IF(L311=1,HLOOKUP(C311,'計算書（第5回）'!$C$123:$U$124,2,TRUE),0)</f>
        <v>0</v>
      </c>
      <c r="N311" s="209">
        <f>IF('信用保険料計算書（上限2000万）'!$O$15="",0,IF($B311&lt;'信用保険料計算書（上限2000万）'!$O$15,0,IF($B311&gt;'信用保険料計算書（上限2000万）'!$O$16,0,1)))</f>
        <v>0</v>
      </c>
      <c r="O311" s="209">
        <f>IF(N311=1,HLOOKUP(C311,'計算書（第6回）'!$C$123:$U$124,2,TRUE),0)</f>
        <v>0</v>
      </c>
      <c r="P311" s="209">
        <f>IF('信用保険料計算書（上限2000万）'!$Q$15="",0,IF($B311&lt;'信用保険料計算書（上限2000万）'!$Q$15,0,IF($B311&gt;'信用保険料計算書（上限2000万）'!$Q$16,0,1)))</f>
        <v>0</v>
      </c>
      <c r="Q311" s="209">
        <f>IF(P311=1,HLOOKUP(C311,'計算書（第7回）'!$C$123:$U$124,2,TRUE),0)</f>
        <v>0</v>
      </c>
      <c r="R311" s="213"/>
      <c r="S311" s="211">
        <f>COUNTIF($AB$13:$AB$19,"&lt;=2031/12/1")</f>
        <v>2</v>
      </c>
      <c r="T311" s="178">
        <f t="shared" si="30"/>
        <v>44743</v>
      </c>
      <c r="U311" s="181">
        <f t="shared" si="28"/>
        <v>0</v>
      </c>
      <c r="V311" s="182">
        <f t="shared" si="35"/>
        <v>0</v>
      </c>
      <c r="W311" s="245">
        <f t="shared" si="31"/>
        <v>0</v>
      </c>
      <c r="X311" s="182"/>
    </row>
    <row r="312" spans="2:24">
      <c r="B312" s="214">
        <f t="shared" si="29"/>
        <v>50041</v>
      </c>
      <c r="C312" s="198">
        <f t="shared" si="27"/>
        <v>50010</v>
      </c>
      <c r="D312" s="209">
        <f>IF(B312&lt;'信用保険料計算書（上限2000万）'!$E$15,0,IF(B312&gt;'信用保険料計算書（上限2000万）'!$E$16,0,1))</f>
        <v>0</v>
      </c>
      <c r="E312" s="209">
        <f>IF(D312=1,HLOOKUP(C312,'計算書（第1回）'!$C$123:$U$124,2,TRUE),0)</f>
        <v>0</v>
      </c>
      <c r="F312" s="209">
        <f>IF('信用保険料計算書（上限2000万）'!$G$15="",0,IF($B312&lt;'信用保険料計算書（上限2000万）'!$G$15,0,IF($B312&gt;'信用保険料計算書（上限2000万）'!$G$16,0,1)))</f>
        <v>0</v>
      </c>
      <c r="G312" s="209">
        <f>IF(F312=1,HLOOKUP(C312,'計算書（第2回）'!$C$123:$U$124,2,TRUE),0)</f>
        <v>0</v>
      </c>
      <c r="H312" s="209">
        <f>IF('信用保険料計算書（上限2000万）'!$I$15="",0,IF($B312&lt;'信用保険料計算書（上限2000万）'!$I$15,0,IF($B312&gt;'信用保険料計算書（上限2000万）'!$I$16,0,1)))</f>
        <v>0</v>
      </c>
      <c r="I312" s="209">
        <f>IF(H312=1,HLOOKUP(C312,'計算書（第3回）'!$C$123:$U$124,2,TRUE),0)</f>
        <v>0</v>
      </c>
      <c r="J312" s="209">
        <f>IF('信用保険料計算書（上限2000万）'!$K$15="",0,IF($B312&lt;'信用保険料計算書（上限2000万）'!$K$15,0,IF($B312&gt;'信用保険料計算書（上限2000万）'!$K$16,0,1)))</f>
        <v>0</v>
      </c>
      <c r="K312" s="209">
        <f>IF(J312=1,HLOOKUP(C312,'計算書（第4回）'!$C$123:$U$124,2,TRUE),0)</f>
        <v>0</v>
      </c>
      <c r="L312" s="209">
        <f>IF('信用保険料計算書（上限2000万）'!$M$15="",0,IF($B312&lt;'信用保険料計算書（上限2000万）'!$M$15,0,IF($B312&gt;'信用保険料計算書（上限2000万）'!$M$16,0,1)))</f>
        <v>0</v>
      </c>
      <c r="M312" s="209">
        <f>IF(L312=1,HLOOKUP(C312,'計算書（第5回）'!$C$123:$U$124,2,TRUE),0)</f>
        <v>0</v>
      </c>
      <c r="N312" s="209">
        <f>IF('信用保険料計算書（上限2000万）'!$O$15="",0,IF($B312&lt;'信用保険料計算書（上限2000万）'!$O$15,0,IF($B312&gt;'信用保険料計算書（上限2000万）'!$O$16,0,1)))</f>
        <v>0</v>
      </c>
      <c r="O312" s="209">
        <f>IF(N312=1,HLOOKUP(C312,'計算書（第6回）'!$C$123:$U$124,2,TRUE),0)</f>
        <v>0</v>
      </c>
      <c r="P312" s="209">
        <f>IF('信用保険料計算書（上限2000万）'!$Q$15="",0,IF($B312&lt;'信用保険料計算書（上限2000万）'!$Q$15,0,IF($B312&gt;'信用保険料計算書（上限2000万）'!$Q$16,0,1)))</f>
        <v>0</v>
      </c>
      <c r="Q312" s="209">
        <f>IF(P312=1,HLOOKUP(C312,'計算書（第7回）'!$C$123:$U$124,2,TRUE),0)</f>
        <v>0</v>
      </c>
      <c r="R312" s="212"/>
      <c r="S312" s="211">
        <f>COUNTIF($AB$13:$AB$19,"&lt;=2032/1/1")</f>
        <v>2</v>
      </c>
      <c r="T312" s="178">
        <f t="shared" si="30"/>
        <v>44743</v>
      </c>
      <c r="U312" s="181">
        <f t="shared" si="28"/>
        <v>0</v>
      </c>
      <c r="V312" s="182">
        <f t="shared" si="35"/>
        <v>0</v>
      </c>
      <c r="W312" s="245">
        <f t="shared" si="31"/>
        <v>0</v>
      </c>
      <c r="X312" s="182"/>
    </row>
    <row r="313" spans="2:24">
      <c r="B313" s="214">
        <f t="shared" si="29"/>
        <v>50072</v>
      </c>
      <c r="C313" s="198">
        <f t="shared" si="27"/>
        <v>50041</v>
      </c>
      <c r="D313" s="209">
        <f>IF(B313&lt;'信用保険料計算書（上限2000万）'!$E$15,0,IF(B313&gt;'信用保険料計算書（上限2000万）'!$E$16,0,1))</f>
        <v>0</v>
      </c>
      <c r="E313" s="209">
        <f>IF(D313=1,HLOOKUP(C313,'計算書（第1回）'!$C$123:$U$124,2,TRUE),0)</f>
        <v>0</v>
      </c>
      <c r="F313" s="209">
        <f>IF('信用保険料計算書（上限2000万）'!$G$15="",0,IF($B313&lt;'信用保険料計算書（上限2000万）'!$G$15,0,IF($B313&gt;'信用保険料計算書（上限2000万）'!$G$16,0,1)))</f>
        <v>0</v>
      </c>
      <c r="G313" s="209">
        <f>IF(F313=1,HLOOKUP(C313,'計算書（第2回）'!$C$123:$U$124,2,TRUE),0)</f>
        <v>0</v>
      </c>
      <c r="H313" s="209">
        <f>IF('信用保険料計算書（上限2000万）'!$I$15="",0,IF($B313&lt;'信用保険料計算書（上限2000万）'!$I$15,0,IF($B313&gt;'信用保険料計算書（上限2000万）'!$I$16,0,1)))</f>
        <v>0</v>
      </c>
      <c r="I313" s="209">
        <f>IF(H313=1,HLOOKUP(C313,'計算書（第3回）'!$C$123:$U$124,2,TRUE),0)</f>
        <v>0</v>
      </c>
      <c r="J313" s="209">
        <f>IF('信用保険料計算書（上限2000万）'!$K$15="",0,IF($B313&lt;'信用保険料計算書（上限2000万）'!$K$15,0,IF($B313&gt;'信用保険料計算書（上限2000万）'!$K$16,0,1)))</f>
        <v>0</v>
      </c>
      <c r="K313" s="209">
        <f>IF(J313=1,HLOOKUP(C313,'計算書（第4回）'!$C$123:$U$124,2,TRUE),0)</f>
        <v>0</v>
      </c>
      <c r="L313" s="209">
        <f>IF('信用保険料計算書（上限2000万）'!$M$15="",0,IF($B313&lt;'信用保険料計算書（上限2000万）'!$M$15,0,IF($B313&gt;'信用保険料計算書（上限2000万）'!$M$16,0,1)))</f>
        <v>0</v>
      </c>
      <c r="M313" s="209">
        <f>IF(L313=1,HLOOKUP(C313,'計算書（第5回）'!$C$123:$U$124,2,TRUE),0)</f>
        <v>0</v>
      </c>
      <c r="N313" s="209">
        <f>IF('信用保険料計算書（上限2000万）'!$O$15="",0,IF($B313&lt;'信用保険料計算書（上限2000万）'!$O$15,0,IF($B313&gt;'信用保険料計算書（上限2000万）'!$O$16,0,1)))</f>
        <v>0</v>
      </c>
      <c r="O313" s="209">
        <f>IF(N313=1,HLOOKUP(C313,'計算書（第6回）'!$C$123:$U$124,2,TRUE),0)</f>
        <v>0</v>
      </c>
      <c r="P313" s="209">
        <f>IF('信用保険料計算書（上限2000万）'!$Q$15="",0,IF($B313&lt;'信用保険料計算書（上限2000万）'!$Q$15,0,IF($B313&gt;'信用保険料計算書（上限2000万）'!$Q$16,0,1)))</f>
        <v>0</v>
      </c>
      <c r="Q313" s="209">
        <f>IF(P313=1,HLOOKUP(C313,'計算書（第7回）'!$C$123:$U$124,2,TRUE),0)</f>
        <v>0</v>
      </c>
      <c r="R313" s="212"/>
      <c r="S313" s="211">
        <f>COUNTIF($AB$13:$AB$19,"&lt;=2032/2/1")</f>
        <v>2</v>
      </c>
      <c r="T313" s="178">
        <f t="shared" si="30"/>
        <v>44743</v>
      </c>
      <c r="U313" s="181">
        <f t="shared" si="28"/>
        <v>0</v>
      </c>
      <c r="V313" s="182">
        <f t="shared" si="35"/>
        <v>0</v>
      </c>
      <c r="W313" s="245">
        <f t="shared" si="31"/>
        <v>0</v>
      </c>
      <c r="X313" s="182"/>
    </row>
    <row r="314" spans="2:24">
      <c r="B314" s="214">
        <f t="shared" si="29"/>
        <v>50100</v>
      </c>
      <c r="C314" s="198">
        <f t="shared" si="27"/>
        <v>50072</v>
      </c>
      <c r="D314" s="209">
        <f>IF(B314&lt;'信用保険料計算書（上限2000万）'!$E$15,0,IF(B314&gt;'信用保険料計算書（上限2000万）'!$E$16,0,1))</f>
        <v>0</v>
      </c>
      <c r="E314" s="209">
        <f>IF(D314=1,HLOOKUP(C314,'計算書（第1回）'!$C$123:$U$124,2,TRUE),0)</f>
        <v>0</v>
      </c>
      <c r="F314" s="209">
        <f>IF('信用保険料計算書（上限2000万）'!$G$15="",0,IF($B314&lt;'信用保険料計算書（上限2000万）'!$G$15,0,IF($B314&gt;'信用保険料計算書（上限2000万）'!$G$16,0,1)))</f>
        <v>0</v>
      </c>
      <c r="G314" s="209">
        <f>IF(F314=1,HLOOKUP(C314,'計算書（第2回）'!$C$123:$U$124,2,TRUE),0)</f>
        <v>0</v>
      </c>
      <c r="H314" s="209">
        <f>IF('信用保険料計算書（上限2000万）'!$I$15="",0,IF($B314&lt;'信用保険料計算書（上限2000万）'!$I$15,0,IF($B314&gt;'信用保険料計算書（上限2000万）'!$I$16,0,1)))</f>
        <v>0</v>
      </c>
      <c r="I314" s="209">
        <f>IF(H314=1,HLOOKUP(C314,'計算書（第3回）'!$C$123:$U$124,2,TRUE),0)</f>
        <v>0</v>
      </c>
      <c r="J314" s="209">
        <f>IF('信用保険料計算書（上限2000万）'!$K$15="",0,IF($B314&lt;'信用保険料計算書（上限2000万）'!$K$15,0,IF($B314&gt;'信用保険料計算書（上限2000万）'!$K$16,0,1)))</f>
        <v>0</v>
      </c>
      <c r="K314" s="209">
        <f>IF(J314=1,HLOOKUP(C314,'計算書（第4回）'!$C$123:$U$124,2,TRUE),0)</f>
        <v>0</v>
      </c>
      <c r="L314" s="209">
        <f>IF('信用保険料計算書（上限2000万）'!$M$15="",0,IF($B314&lt;'信用保険料計算書（上限2000万）'!$M$15,0,IF($B314&gt;'信用保険料計算書（上限2000万）'!$M$16,0,1)))</f>
        <v>0</v>
      </c>
      <c r="M314" s="209">
        <f>IF(L314=1,HLOOKUP(C314,'計算書（第5回）'!$C$123:$U$124,2,TRUE),0)</f>
        <v>0</v>
      </c>
      <c r="N314" s="209">
        <f>IF('信用保険料計算書（上限2000万）'!$O$15="",0,IF($B314&lt;'信用保険料計算書（上限2000万）'!$O$15,0,IF($B314&gt;'信用保険料計算書（上限2000万）'!$O$16,0,1)))</f>
        <v>0</v>
      </c>
      <c r="O314" s="209">
        <f>IF(N314=1,HLOOKUP(C314,'計算書（第6回）'!$C$123:$U$124,2,TRUE),0)</f>
        <v>0</v>
      </c>
      <c r="P314" s="209">
        <f>IF('信用保険料計算書（上限2000万）'!$Q$15="",0,IF($B314&lt;'信用保険料計算書（上限2000万）'!$Q$15,0,IF($B314&gt;'信用保険料計算書（上限2000万）'!$Q$16,0,1)))</f>
        <v>0</v>
      </c>
      <c r="Q314" s="209">
        <f>IF(P314=1,HLOOKUP(C314,'計算書（第7回）'!$C$123:$U$124,2,TRUE),0)</f>
        <v>0</v>
      </c>
      <c r="R314" s="212"/>
      <c r="S314" s="211">
        <f>COUNTIF($AB$13:$AB$19,"&lt;=2032/3/1")</f>
        <v>2</v>
      </c>
      <c r="T314" s="178">
        <f t="shared" si="30"/>
        <v>44743</v>
      </c>
      <c r="U314" s="181">
        <f t="shared" si="28"/>
        <v>0</v>
      </c>
      <c r="V314" s="182">
        <f t="shared" si="35"/>
        <v>0</v>
      </c>
      <c r="W314" s="245">
        <f t="shared" si="31"/>
        <v>0</v>
      </c>
      <c r="X314" s="183">
        <f>INT(SUM(W309:W314))</f>
        <v>0</v>
      </c>
    </row>
    <row r="315" spans="2:24">
      <c r="B315" s="214">
        <f t="shared" si="29"/>
        <v>50131</v>
      </c>
      <c r="C315" s="198">
        <f t="shared" si="27"/>
        <v>50100</v>
      </c>
      <c r="D315" s="209">
        <f>IF(B315&lt;'信用保険料計算書（上限2000万）'!$E$15,0,IF(B315&gt;'信用保険料計算書（上限2000万）'!$E$16,0,1))</f>
        <v>0</v>
      </c>
      <c r="E315" s="209">
        <f>IF(D315=1,HLOOKUP(C315,'計算書（第1回）'!$C$123:$U$124,2,TRUE),0)</f>
        <v>0</v>
      </c>
      <c r="F315" s="209">
        <f>IF('信用保険料計算書（上限2000万）'!$G$15="",0,IF($B315&lt;'信用保険料計算書（上限2000万）'!$G$15,0,IF($B315&gt;'信用保険料計算書（上限2000万）'!$G$16,0,1)))</f>
        <v>0</v>
      </c>
      <c r="G315" s="209">
        <f>IF(F315=1,HLOOKUP(C315,'計算書（第2回）'!$C$123:$U$124,2,TRUE),0)</f>
        <v>0</v>
      </c>
      <c r="H315" s="209">
        <f>IF('信用保険料計算書（上限2000万）'!$I$15="",0,IF($B315&lt;'信用保険料計算書（上限2000万）'!$I$15,0,IF($B315&gt;'信用保険料計算書（上限2000万）'!$I$16,0,1)))</f>
        <v>0</v>
      </c>
      <c r="I315" s="209">
        <f>IF(H315=1,HLOOKUP(C315,'計算書（第3回）'!$C$123:$U$124,2,TRUE),0)</f>
        <v>0</v>
      </c>
      <c r="J315" s="209">
        <f>IF('信用保険料計算書（上限2000万）'!$K$15="",0,IF($B315&lt;'信用保険料計算書（上限2000万）'!$K$15,0,IF($B315&gt;'信用保険料計算書（上限2000万）'!$K$16,0,1)))</f>
        <v>0</v>
      </c>
      <c r="K315" s="209">
        <f>IF(J315=1,HLOOKUP(C315,'計算書（第4回）'!$C$123:$U$124,2,TRUE),0)</f>
        <v>0</v>
      </c>
      <c r="L315" s="209">
        <f>IF('信用保険料計算書（上限2000万）'!$M$15="",0,IF($B315&lt;'信用保険料計算書（上限2000万）'!$M$15,0,IF($B315&gt;'信用保険料計算書（上限2000万）'!$M$16,0,1)))</f>
        <v>0</v>
      </c>
      <c r="M315" s="209">
        <f>IF(L315=1,HLOOKUP(C315,'計算書（第5回）'!$C$123:$U$124,2,TRUE),0)</f>
        <v>0</v>
      </c>
      <c r="N315" s="209">
        <f>IF('信用保険料計算書（上限2000万）'!$O$15="",0,IF($B315&lt;'信用保険料計算書（上限2000万）'!$O$15,0,IF($B315&gt;'信用保険料計算書（上限2000万）'!$O$16,0,1)))</f>
        <v>0</v>
      </c>
      <c r="O315" s="209">
        <f>IF(N315=1,HLOOKUP(C315,'計算書（第6回）'!$C$123:$U$124,2,TRUE),0)</f>
        <v>0</v>
      </c>
      <c r="P315" s="209">
        <f>IF('信用保険料計算書（上限2000万）'!$Q$15="",0,IF($B315&lt;'信用保険料計算書（上限2000万）'!$Q$15,0,IF($B315&gt;'信用保険料計算書（上限2000万）'!$Q$16,0,1)))</f>
        <v>0</v>
      </c>
      <c r="Q315" s="209">
        <f>IF(P315=1,HLOOKUP(C315,'計算書（第7回）'!$C$123:$U$124,2,TRUE),0)</f>
        <v>0</v>
      </c>
      <c r="R315" s="213"/>
      <c r="S315" s="211">
        <f>COUNTIF($AB$13:$AB$19,"&lt;=2031/4/1")</f>
        <v>2</v>
      </c>
      <c r="T315" s="178">
        <f t="shared" si="30"/>
        <v>44743</v>
      </c>
      <c r="U315" s="181">
        <f t="shared" si="28"/>
        <v>0</v>
      </c>
      <c r="V315" s="182">
        <f t="shared" ref="V315:V326" si="36">IF(U315=0,0,IF(U315&gt;VLOOKUP(T315,$AA$5:$AB$8,2,TRUE),VLOOKUP(T315,$AA$5:$AB$8,2,TRUE),U315))</f>
        <v>0</v>
      </c>
      <c r="W315" s="245">
        <f t="shared" si="31"/>
        <v>0</v>
      </c>
      <c r="X315" s="182"/>
    </row>
    <row r="316" spans="2:24">
      <c r="B316" s="214">
        <f t="shared" si="29"/>
        <v>50161</v>
      </c>
      <c r="C316" s="198">
        <f t="shared" si="27"/>
        <v>50131</v>
      </c>
      <c r="D316" s="209">
        <f>IF(B316&lt;'信用保険料計算書（上限2000万）'!$E$15,0,IF(B316&gt;'信用保険料計算書（上限2000万）'!$E$16,0,1))</f>
        <v>0</v>
      </c>
      <c r="E316" s="209">
        <f>IF(D316=1,HLOOKUP(C316,'計算書（第1回）'!$C$123:$U$124,2,TRUE),0)</f>
        <v>0</v>
      </c>
      <c r="F316" s="209">
        <f>IF('信用保険料計算書（上限2000万）'!$G$15="",0,IF($B316&lt;'信用保険料計算書（上限2000万）'!$G$15,0,IF($B316&gt;'信用保険料計算書（上限2000万）'!$G$16,0,1)))</f>
        <v>0</v>
      </c>
      <c r="G316" s="209">
        <f>IF(F316=1,HLOOKUP(C316,'計算書（第2回）'!$C$123:$U$124,2,TRUE),0)</f>
        <v>0</v>
      </c>
      <c r="H316" s="209">
        <f>IF('信用保険料計算書（上限2000万）'!$I$15="",0,IF($B316&lt;'信用保険料計算書（上限2000万）'!$I$15,0,IF($B316&gt;'信用保険料計算書（上限2000万）'!$I$16,0,1)))</f>
        <v>0</v>
      </c>
      <c r="I316" s="209">
        <f>IF(H316=1,HLOOKUP(C316,'計算書（第3回）'!$C$123:$U$124,2,TRUE),0)</f>
        <v>0</v>
      </c>
      <c r="J316" s="209">
        <f>IF('信用保険料計算書（上限2000万）'!$K$15="",0,IF($B316&lt;'信用保険料計算書（上限2000万）'!$K$15,0,IF($B316&gt;'信用保険料計算書（上限2000万）'!$K$16,0,1)))</f>
        <v>0</v>
      </c>
      <c r="K316" s="209">
        <f>IF(J316=1,HLOOKUP(C316,'計算書（第4回）'!$C$123:$U$124,2,TRUE),0)</f>
        <v>0</v>
      </c>
      <c r="L316" s="209">
        <f>IF('信用保険料計算書（上限2000万）'!$M$15="",0,IF($B316&lt;'信用保険料計算書（上限2000万）'!$M$15,0,IF($B316&gt;'信用保険料計算書（上限2000万）'!$M$16,0,1)))</f>
        <v>0</v>
      </c>
      <c r="M316" s="209">
        <f>IF(L316=1,HLOOKUP(C316,'計算書（第5回）'!$C$123:$U$124,2,TRUE),0)</f>
        <v>0</v>
      </c>
      <c r="N316" s="209">
        <f>IF('信用保険料計算書（上限2000万）'!$O$15="",0,IF($B316&lt;'信用保険料計算書（上限2000万）'!$O$15,0,IF($B316&gt;'信用保険料計算書（上限2000万）'!$O$16,0,1)))</f>
        <v>0</v>
      </c>
      <c r="O316" s="209">
        <f>IF(N316=1,HLOOKUP(C316,'計算書（第6回）'!$C$123:$U$124,2,TRUE),0)</f>
        <v>0</v>
      </c>
      <c r="P316" s="209">
        <f>IF('信用保険料計算書（上限2000万）'!$Q$15="",0,IF($B316&lt;'信用保険料計算書（上限2000万）'!$Q$15,0,IF($B316&gt;'信用保険料計算書（上限2000万）'!$Q$16,0,1)))</f>
        <v>0</v>
      </c>
      <c r="Q316" s="209">
        <f>IF(P316=1,HLOOKUP(C316,'計算書（第7回）'!$C$123:$U$124,2,TRUE),0)</f>
        <v>0</v>
      </c>
      <c r="R316" s="213"/>
      <c r="S316" s="211">
        <f>COUNTIF($AB$13:$AB$19,"&lt;=2031/5/1")</f>
        <v>2</v>
      </c>
      <c r="T316" s="178">
        <f t="shared" si="30"/>
        <v>44743</v>
      </c>
      <c r="U316" s="181">
        <f t="shared" si="28"/>
        <v>0</v>
      </c>
      <c r="V316" s="182">
        <f t="shared" si="36"/>
        <v>0</v>
      </c>
      <c r="W316" s="245">
        <f t="shared" si="31"/>
        <v>0</v>
      </c>
      <c r="X316" s="182"/>
    </row>
    <row r="317" spans="2:24">
      <c r="B317" s="214">
        <f t="shared" si="29"/>
        <v>50192</v>
      </c>
      <c r="C317" s="198">
        <f t="shared" si="27"/>
        <v>50161</v>
      </c>
      <c r="D317" s="209">
        <f>IF(B317&lt;'信用保険料計算書（上限2000万）'!$E$15,0,IF(B317&gt;'信用保険料計算書（上限2000万）'!$E$16,0,1))</f>
        <v>0</v>
      </c>
      <c r="E317" s="209">
        <f>IF(D317=1,HLOOKUP(C317,'計算書（第1回）'!$C$123:$U$124,2,TRUE),0)</f>
        <v>0</v>
      </c>
      <c r="F317" s="209">
        <f>IF('信用保険料計算書（上限2000万）'!$G$15="",0,IF($B317&lt;'信用保険料計算書（上限2000万）'!$G$15,0,IF($B317&gt;'信用保険料計算書（上限2000万）'!$G$16,0,1)))</f>
        <v>0</v>
      </c>
      <c r="G317" s="209">
        <f>IF(F317=1,HLOOKUP(C317,'計算書（第2回）'!$C$123:$U$124,2,TRUE),0)</f>
        <v>0</v>
      </c>
      <c r="H317" s="209">
        <f>IF('信用保険料計算書（上限2000万）'!$I$15="",0,IF($B317&lt;'信用保険料計算書（上限2000万）'!$I$15,0,IF($B317&gt;'信用保険料計算書（上限2000万）'!$I$16,0,1)))</f>
        <v>0</v>
      </c>
      <c r="I317" s="209">
        <f>IF(H317=1,HLOOKUP(C317,'計算書（第3回）'!$C$123:$U$124,2,TRUE),0)</f>
        <v>0</v>
      </c>
      <c r="J317" s="209">
        <f>IF('信用保険料計算書（上限2000万）'!$K$15="",0,IF($B317&lt;'信用保険料計算書（上限2000万）'!$K$15,0,IF($B317&gt;'信用保険料計算書（上限2000万）'!$K$16,0,1)))</f>
        <v>0</v>
      </c>
      <c r="K317" s="209">
        <f>IF(J317=1,HLOOKUP(C317,'計算書（第4回）'!$C$123:$U$124,2,TRUE),0)</f>
        <v>0</v>
      </c>
      <c r="L317" s="209">
        <f>IF('信用保険料計算書（上限2000万）'!$M$15="",0,IF($B317&lt;'信用保険料計算書（上限2000万）'!$M$15,0,IF($B317&gt;'信用保険料計算書（上限2000万）'!$M$16,0,1)))</f>
        <v>0</v>
      </c>
      <c r="M317" s="209">
        <f>IF(L317=1,HLOOKUP(C317,'計算書（第5回）'!$C$123:$U$124,2,TRUE),0)</f>
        <v>0</v>
      </c>
      <c r="N317" s="209">
        <f>IF('信用保険料計算書（上限2000万）'!$O$15="",0,IF($B317&lt;'信用保険料計算書（上限2000万）'!$O$15,0,IF($B317&gt;'信用保険料計算書（上限2000万）'!$O$16,0,1)))</f>
        <v>0</v>
      </c>
      <c r="O317" s="209">
        <f>IF(N317=1,HLOOKUP(C317,'計算書（第6回）'!$C$123:$U$124,2,TRUE),0)</f>
        <v>0</v>
      </c>
      <c r="P317" s="209">
        <f>IF('信用保険料計算書（上限2000万）'!$Q$15="",0,IF($B317&lt;'信用保険料計算書（上限2000万）'!$Q$15,0,IF($B317&gt;'信用保険料計算書（上限2000万）'!$Q$16,0,1)))</f>
        <v>0</v>
      </c>
      <c r="Q317" s="209">
        <f>IF(P317=1,HLOOKUP(C317,'計算書（第7回）'!$C$123:$U$124,2,TRUE),0)</f>
        <v>0</v>
      </c>
      <c r="R317" s="213"/>
      <c r="S317" s="211">
        <f>COUNTIF($AB$13:$AB$19,"&lt;=2031/6/1")</f>
        <v>2</v>
      </c>
      <c r="T317" s="178">
        <f t="shared" si="30"/>
        <v>44743</v>
      </c>
      <c r="U317" s="181">
        <f t="shared" si="28"/>
        <v>0</v>
      </c>
      <c r="V317" s="182">
        <f t="shared" si="36"/>
        <v>0</v>
      </c>
      <c r="W317" s="245">
        <f t="shared" si="31"/>
        <v>0</v>
      </c>
      <c r="X317" s="182"/>
    </row>
    <row r="318" spans="2:24">
      <c r="B318" s="214">
        <f t="shared" si="29"/>
        <v>50222</v>
      </c>
      <c r="C318" s="198">
        <f t="shared" si="27"/>
        <v>50192</v>
      </c>
      <c r="D318" s="209">
        <f>IF(B318&lt;'信用保険料計算書（上限2000万）'!$E$15,0,IF(B318&gt;'信用保険料計算書（上限2000万）'!$E$16,0,1))</f>
        <v>0</v>
      </c>
      <c r="E318" s="209">
        <f>IF(D318=1,HLOOKUP(C318,'計算書（第1回）'!$C$123:$U$124,2,TRUE),0)</f>
        <v>0</v>
      </c>
      <c r="F318" s="209">
        <f>IF('信用保険料計算書（上限2000万）'!$G$15="",0,IF($B318&lt;'信用保険料計算書（上限2000万）'!$G$15,0,IF($B318&gt;'信用保険料計算書（上限2000万）'!$G$16,0,1)))</f>
        <v>0</v>
      </c>
      <c r="G318" s="209">
        <f>IF(F318=1,HLOOKUP(C318,'計算書（第2回）'!$C$123:$U$124,2,TRUE),0)</f>
        <v>0</v>
      </c>
      <c r="H318" s="209">
        <f>IF('信用保険料計算書（上限2000万）'!$I$15="",0,IF($B318&lt;'信用保険料計算書（上限2000万）'!$I$15,0,IF($B318&gt;'信用保険料計算書（上限2000万）'!$I$16,0,1)))</f>
        <v>0</v>
      </c>
      <c r="I318" s="209">
        <f>IF(H318=1,HLOOKUP(C318,'計算書（第3回）'!$C$123:$U$124,2,TRUE),0)</f>
        <v>0</v>
      </c>
      <c r="J318" s="209">
        <f>IF('信用保険料計算書（上限2000万）'!$K$15="",0,IF($B318&lt;'信用保険料計算書（上限2000万）'!$K$15,0,IF($B318&gt;'信用保険料計算書（上限2000万）'!$K$16,0,1)))</f>
        <v>0</v>
      </c>
      <c r="K318" s="209">
        <f>IF(J318=1,HLOOKUP(C318,'計算書（第4回）'!$C$123:$U$124,2,TRUE),0)</f>
        <v>0</v>
      </c>
      <c r="L318" s="209">
        <f>IF('信用保険料計算書（上限2000万）'!$M$15="",0,IF($B318&lt;'信用保険料計算書（上限2000万）'!$M$15,0,IF($B318&gt;'信用保険料計算書（上限2000万）'!$M$16,0,1)))</f>
        <v>0</v>
      </c>
      <c r="M318" s="209">
        <f>IF(L318=1,HLOOKUP(C318,'計算書（第5回）'!$C$123:$U$124,2,TRUE),0)</f>
        <v>0</v>
      </c>
      <c r="N318" s="209">
        <f>IF('信用保険料計算書（上限2000万）'!$O$15="",0,IF($B318&lt;'信用保険料計算書（上限2000万）'!$O$15,0,IF($B318&gt;'信用保険料計算書（上限2000万）'!$O$16,0,1)))</f>
        <v>0</v>
      </c>
      <c r="O318" s="209">
        <f>IF(N318=1,HLOOKUP(C318,'計算書（第6回）'!$C$123:$U$124,2,TRUE),0)</f>
        <v>0</v>
      </c>
      <c r="P318" s="209">
        <f>IF('信用保険料計算書（上限2000万）'!$Q$15="",0,IF($B318&lt;'信用保険料計算書（上限2000万）'!$Q$15,0,IF($B318&gt;'信用保険料計算書（上限2000万）'!$Q$16,0,1)))</f>
        <v>0</v>
      </c>
      <c r="Q318" s="209">
        <f>IF(P318=1,HLOOKUP(C318,'計算書（第7回）'!$C$123:$U$124,2,TRUE),0)</f>
        <v>0</v>
      </c>
      <c r="R318" s="213"/>
      <c r="S318" s="211">
        <f>COUNTIF($AB$13:$AB$19,"&lt;=2031/7/1")</f>
        <v>2</v>
      </c>
      <c r="T318" s="178">
        <f t="shared" si="30"/>
        <v>44743</v>
      </c>
      <c r="U318" s="181">
        <f t="shared" si="28"/>
        <v>0</v>
      </c>
      <c r="V318" s="182">
        <f t="shared" si="36"/>
        <v>0</v>
      </c>
      <c r="W318" s="245">
        <f t="shared" si="31"/>
        <v>0</v>
      </c>
      <c r="X318" s="182"/>
    </row>
    <row r="319" spans="2:24">
      <c r="B319" s="214">
        <f t="shared" si="29"/>
        <v>50253</v>
      </c>
      <c r="C319" s="198">
        <f t="shared" si="27"/>
        <v>50222</v>
      </c>
      <c r="D319" s="209">
        <f>IF(B319&lt;'信用保険料計算書（上限2000万）'!$E$15,0,IF(B319&gt;'信用保険料計算書（上限2000万）'!$E$16,0,1))</f>
        <v>0</v>
      </c>
      <c r="E319" s="209">
        <f>IF(D319=1,HLOOKUP(C319,'計算書（第1回）'!$C$123:$U$124,2,TRUE),0)</f>
        <v>0</v>
      </c>
      <c r="F319" s="209">
        <f>IF('信用保険料計算書（上限2000万）'!$G$15="",0,IF($B319&lt;'信用保険料計算書（上限2000万）'!$G$15,0,IF($B319&gt;'信用保険料計算書（上限2000万）'!$G$16,0,1)))</f>
        <v>0</v>
      </c>
      <c r="G319" s="209">
        <f>IF(F319=1,HLOOKUP(C319,'計算書（第2回）'!$C$123:$U$124,2,TRUE),0)</f>
        <v>0</v>
      </c>
      <c r="H319" s="209">
        <f>IF('信用保険料計算書（上限2000万）'!$I$15="",0,IF($B319&lt;'信用保険料計算書（上限2000万）'!$I$15,0,IF($B319&gt;'信用保険料計算書（上限2000万）'!$I$16,0,1)))</f>
        <v>0</v>
      </c>
      <c r="I319" s="209">
        <f>IF(H319=1,HLOOKUP(C319,'計算書（第3回）'!$C$123:$U$124,2,TRUE),0)</f>
        <v>0</v>
      </c>
      <c r="J319" s="209">
        <f>IF('信用保険料計算書（上限2000万）'!$K$15="",0,IF($B319&lt;'信用保険料計算書（上限2000万）'!$K$15,0,IF($B319&gt;'信用保険料計算書（上限2000万）'!$K$16,0,1)))</f>
        <v>0</v>
      </c>
      <c r="K319" s="209">
        <f>IF(J319=1,HLOOKUP(C319,'計算書（第4回）'!$C$123:$U$124,2,TRUE),0)</f>
        <v>0</v>
      </c>
      <c r="L319" s="209">
        <f>IF('信用保険料計算書（上限2000万）'!$M$15="",0,IF($B319&lt;'信用保険料計算書（上限2000万）'!$M$15,0,IF($B319&gt;'信用保険料計算書（上限2000万）'!$M$16,0,1)))</f>
        <v>0</v>
      </c>
      <c r="M319" s="209">
        <f>IF(L319=1,HLOOKUP(C319,'計算書（第5回）'!$C$123:$U$124,2,TRUE),0)</f>
        <v>0</v>
      </c>
      <c r="N319" s="209">
        <f>IF('信用保険料計算書（上限2000万）'!$O$15="",0,IF($B319&lt;'信用保険料計算書（上限2000万）'!$O$15,0,IF($B319&gt;'信用保険料計算書（上限2000万）'!$O$16,0,1)))</f>
        <v>0</v>
      </c>
      <c r="O319" s="209">
        <f>IF(N319=1,HLOOKUP(C319,'計算書（第6回）'!$C$123:$U$124,2,TRUE),0)</f>
        <v>0</v>
      </c>
      <c r="P319" s="209">
        <f>IF('信用保険料計算書（上限2000万）'!$Q$15="",0,IF($B319&lt;'信用保険料計算書（上限2000万）'!$Q$15,0,IF($B319&gt;'信用保険料計算書（上限2000万）'!$Q$16,0,1)))</f>
        <v>0</v>
      </c>
      <c r="Q319" s="209">
        <f>IF(P319=1,HLOOKUP(C319,'計算書（第7回）'!$C$123:$U$124,2,TRUE),0)</f>
        <v>0</v>
      </c>
      <c r="R319" s="213"/>
      <c r="S319" s="211">
        <f>COUNTIF($AB$13:$AB$19,"&lt;=2031/8/1")</f>
        <v>2</v>
      </c>
      <c r="T319" s="178">
        <f t="shared" si="30"/>
        <v>44743</v>
      </c>
      <c r="U319" s="181">
        <f t="shared" si="28"/>
        <v>0</v>
      </c>
      <c r="V319" s="182">
        <f t="shared" si="36"/>
        <v>0</v>
      </c>
      <c r="W319" s="245">
        <f t="shared" si="31"/>
        <v>0</v>
      </c>
      <c r="X319" s="182"/>
    </row>
    <row r="320" spans="2:24">
      <c r="B320" s="214">
        <f t="shared" si="29"/>
        <v>50284</v>
      </c>
      <c r="C320" s="198">
        <f t="shared" si="27"/>
        <v>50253</v>
      </c>
      <c r="D320" s="209">
        <f>IF(B320&lt;'信用保険料計算書（上限2000万）'!$E$15,0,IF(B320&gt;'信用保険料計算書（上限2000万）'!$E$16,0,1))</f>
        <v>0</v>
      </c>
      <c r="E320" s="209">
        <f>IF(D320=1,HLOOKUP(C320,'計算書（第1回）'!$C$123:$U$124,2,TRUE),0)</f>
        <v>0</v>
      </c>
      <c r="F320" s="209">
        <f>IF('信用保険料計算書（上限2000万）'!$G$15="",0,IF($B320&lt;'信用保険料計算書（上限2000万）'!$G$15,0,IF($B320&gt;'信用保険料計算書（上限2000万）'!$G$16,0,1)))</f>
        <v>0</v>
      </c>
      <c r="G320" s="209">
        <f>IF(F320=1,HLOOKUP(C320,'計算書（第2回）'!$C$123:$U$124,2,TRUE),0)</f>
        <v>0</v>
      </c>
      <c r="H320" s="209">
        <f>IF('信用保険料計算書（上限2000万）'!$I$15="",0,IF($B320&lt;'信用保険料計算書（上限2000万）'!$I$15,0,IF($B320&gt;'信用保険料計算書（上限2000万）'!$I$16,0,1)))</f>
        <v>0</v>
      </c>
      <c r="I320" s="209">
        <f>IF(H320=1,HLOOKUP(C320,'計算書（第3回）'!$C$123:$U$124,2,TRUE),0)</f>
        <v>0</v>
      </c>
      <c r="J320" s="209">
        <f>IF('信用保険料計算書（上限2000万）'!$K$15="",0,IF($B320&lt;'信用保険料計算書（上限2000万）'!$K$15,0,IF($B320&gt;'信用保険料計算書（上限2000万）'!$K$16,0,1)))</f>
        <v>0</v>
      </c>
      <c r="K320" s="209">
        <f>IF(J320=1,HLOOKUP(C320,'計算書（第4回）'!$C$123:$U$124,2,TRUE),0)</f>
        <v>0</v>
      </c>
      <c r="L320" s="209">
        <f>IF('信用保険料計算書（上限2000万）'!$M$15="",0,IF($B320&lt;'信用保険料計算書（上限2000万）'!$M$15,0,IF($B320&gt;'信用保険料計算書（上限2000万）'!$M$16,0,1)))</f>
        <v>0</v>
      </c>
      <c r="M320" s="209">
        <f>IF(L320=1,HLOOKUP(C320,'計算書（第5回）'!$C$123:$U$124,2,TRUE),0)</f>
        <v>0</v>
      </c>
      <c r="N320" s="209">
        <f>IF('信用保険料計算書（上限2000万）'!$O$15="",0,IF($B320&lt;'信用保険料計算書（上限2000万）'!$O$15,0,IF($B320&gt;'信用保険料計算書（上限2000万）'!$O$16,0,1)))</f>
        <v>0</v>
      </c>
      <c r="O320" s="209">
        <f>IF(N320=1,HLOOKUP(C320,'計算書（第6回）'!$C$123:$U$124,2,TRUE),0)</f>
        <v>0</v>
      </c>
      <c r="P320" s="209">
        <f>IF('信用保険料計算書（上限2000万）'!$Q$15="",0,IF($B320&lt;'信用保険料計算書（上限2000万）'!$Q$15,0,IF($B320&gt;'信用保険料計算書（上限2000万）'!$Q$16,0,1)))</f>
        <v>0</v>
      </c>
      <c r="Q320" s="209">
        <f>IF(P320=1,HLOOKUP(C320,'計算書（第7回）'!$C$123:$U$124,2,TRUE),0)</f>
        <v>0</v>
      </c>
      <c r="R320" s="213"/>
      <c r="S320" s="211">
        <f>COUNTIF($AB$13:$AB$19,"&lt;=2031/9/1")</f>
        <v>2</v>
      </c>
      <c r="T320" s="178">
        <f t="shared" si="30"/>
        <v>44743</v>
      </c>
      <c r="U320" s="181">
        <f t="shared" si="28"/>
        <v>0</v>
      </c>
      <c r="V320" s="182">
        <f t="shared" si="36"/>
        <v>0</v>
      </c>
      <c r="W320" s="245">
        <f t="shared" si="31"/>
        <v>0</v>
      </c>
      <c r="X320" s="183">
        <f>INT(SUM(W315:W320))</f>
        <v>0</v>
      </c>
    </row>
    <row r="321" spans="2:24">
      <c r="B321" s="214">
        <f t="shared" si="29"/>
        <v>50314</v>
      </c>
      <c r="C321" s="198">
        <f t="shared" si="27"/>
        <v>50284</v>
      </c>
      <c r="D321" s="209">
        <f>IF(B321&lt;'信用保険料計算書（上限2000万）'!$E$15,0,IF(B321&gt;'信用保険料計算書（上限2000万）'!$E$16,0,1))</f>
        <v>0</v>
      </c>
      <c r="E321" s="209">
        <f>IF(D321=1,HLOOKUP(C321,'計算書（第1回）'!$C$123:$U$124,2,TRUE),0)</f>
        <v>0</v>
      </c>
      <c r="F321" s="209">
        <f>IF('信用保険料計算書（上限2000万）'!$G$15="",0,IF($B321&lt;'信用保険料計算書（上限2000万）'!$G$15,0,IF($B321&gt;'信用保険料計算書（上限2000万）'!$G$16,0,1)))</f>
        <v>0</v>
      </c>
      <c r="G321" s="209">
        <f>IF(F321=1,HLOOKUP(C321,'計算書（第2回）'!$C$123:$U$124,2,TRUE),0)</f>
        <v>0</v>
      </c>
      <c r="H321" s="209">
        <f>IF('信用保険料計算書（上限2000万）'!$I$15="",0,IF($B321&lt;'信用保険料計算書（上限2000万）'!$I$15,0,IF($B321&gt;'信用保険料計算書（上限2000万）'!$I$16,0,1)))</f>
        <v>0</v>
      </c>
      <c r="I321" s="209">
        <f>IF(H321=1,HLOOKUP(C321,'計算書（第3回）'!$C$123:$U$124,2,TRUE),0)</f>
        <v>0</v>
      </c>
      <c r="J321" s="209">
        <f>IF('信用保険料計算書（上限2000万）'!$K$15="",0,IF($B321&lt;'信用保険料計算書（上限2000万）'!$K$15,0,IF($B321&gt;'信用保険料計算書（上限2000万）'!$K$16,0,1)))</f>
        <v>0</v>
      </c>
      <c r="K321" s="209">
        <f>IF(J321=1,HLOOKUP(C321,'計算書（第4回）'!$C$123:$U$124,2,TRUE),0)</f>
        <v>0</v>
      </c>
      <c r="L321" s="209">
        <f>IF('信用保険料計算書（上限2000万）'!$M$15="",0,IF($B321&lt;'信用保険料計算書（上限2000万）'!$M$15,0,IF($B321&gt;'信用保険料計算書（上限2000万）'!$M$16,0,1)))</f>
        <v>0</v>
      </c>
      <c r="M321" s="209">
        <f>IF(L321=1,HLOOKUP(C321,'計算書（第5回）'!$C$123:$U$124,2,TRUE),0)</f>
        <v>0</v>
      </c>
      <c r="N321" s="209">
        <f>IF('信用保険料計算書（上限2000万）'!$O$15="",0,IF($B321&lt;'信用保険料計算書（上限2000万）'!$O$15,0,IF($B321&gt;'信用保険料計算書（上限2000万）'!$O$16,0,1)))</f>
        <v>0</v>
      </c>
      <c r="O321" s="209">
        <f>IF(N321=1,HLOOKUP(C321,'計算書（第6回）'!$C$123:$U$124,2,TRUE),0)</f>
        <v>0</v>
      </c>
      <c r="P321" s="209">
        <f>IF('信用保険料計算書（上限2000万）'!$Q$15="",0,IF($B321&lt;'信用保険料計算書（上限2000万）'!$Q$15,0,IF($B321&gt;'信用保険料計算書（上限2000万）'!$Q$16,0,1)))</f>
        <v>0</v>
      </c>
      <c r="Q321" s="209">
        <f>IF(P321=1,HLOOKUP(C321,'計算書（第7回）'!$C$123:$U$124,2,TRUE),0)</f>
        <v>0</v>
      </c>
      <c r="R321" s="213"/>
      <c r="S321" s="211">
        <f>COUNTIF($AB$13:$AB$19,"&lt;=2031/10/1")</f>
        <v>2</v>
      </c>
      <c r="T321" s="178">
        <f t="shared" si="30"/>
        <v>44743</v>
      </c>
      <c r="U321" s="181">
        <f t="shared" si="28"/>
        <v>0</v>
      </c>
      <c r="V321" s="182">
        <f t="shared" si="36"/>
        <v>0</v>
      </c>
      <c r="W321" s="245">
        <f t="shared" si="31"/>
        <v>0</v>
      </c>
      <c r="X321" s="182"/>
    </row>
    <row r="322" spans="2:24">
      <c r="B322" s="214">
        <f t="shared" si="29"/>
        <v>50345</v>
      </c>
      <c r="C322" s="198">
        <f t="shared" si="27"/>
        <v>50314</v>
      </c>
      <c r="D322" s="209">
        <f>IF(B322&lt;'信用保険料計算書（上限2000万）'!$E$15,0,IF(B322&gt;'信用保険料計算書（上限2000万）'!$E$16,0,1))</f>
        <v>0</v>
      </c>
      <c r="E322" s="209">
        <f>IF(D322=1,HLOOKUP(C322,'計算書（第1回）'!$C$123:$U$124,2,TRUE),0)</f>
        <v>0</v>
      </c>
      <c r="F322" s="209">
        <f>IF('信用保険料計算書（上限2000万）'!$G$15="",0,IF($B322&lt;'信用保険料計算書（上限2000万）'!$G$15,0,IF($B322&gt;'信用保険料計算書（上限2000万）'!$G$16,0,1)))</f>
        <v>0</v>
      </c>
      <c r="G322" s="209">
        <f>IF(F322=1,HLOOKUP(C322,'計算書（第2回）'!$C$123:$U$124,2,TRUE),0)</f>
        <v>0</v>
      </c>
      <c r="H322" s="209">
        <f>IF('信用保険料計算書（上限2000万）'!$I$15="",0,IF($B322&lt;'信用保険料計算書（上限2000万）'!$I$15,0,IF($B322&gt;'信用保険料計算書（上限2000万）'!$I$16,0,1)))</f>
        <v>0</v>
      </c>
      <c r="I322" s="209">
        <f>IF(H322=1,HLOOKUP(C322,'計算書（第3回）'!$C$123:$U$124,2,TRUE),0)</f>
        <v>0</v>
      </c>
      <c r="J322" s="209">
        <f>IF('信用保険料計算書（上限2000万）'!$K$15="",0,IF($B322&lt;'信用保険料計算書（上限2000万）'!$K$15,0,IF($B322&gt;'信用保険料計算書（上限2000万）'!$K$16,0,1)))</f>
        <v>0</v>
      </c>
      <c r="K322" s="209">
        <f>IF(J322=1,HLOOKUP(C322,'計算書（第4回）'!$C$123:$U$124,2,TRUE),0)</f>
        <v>0</v>
      </c>
      <c r="L322" s="209">
        <f>IF('信用保険料計算書（上限2000万）'!$M$15="",0,IF($B322&lt;'信用保険料計算書（上限2000万）'!$M$15,0,IF($B322&gt;'信用保険料計算書（上限2000万）'!$M$16,0,1)))</f>
        <v>0</v>
      </c>
      <c r="M322" s="209">
        <f>IF(L322=1,HLOOKUP(C322,'計算書（第5回）'!$C$123:$U$124,2,TRUE),0)</f>
        <v>0</v>
      </c>
      <c r="N322" s="209">
        <f>IF('信用保険料計算書（上限2000万）'!$O$15="",0,IF($B322&lt;'信用保険料計算書（上限2000万）'!$O$15,0,IF($B322&gt;'信用保険料計算書（上限2000万）'!$O$16,0,1)))</f>
        <v>0</v>
      </c>
      <c r="O322" s="209">
        <f>IF(N322=1,HLOOKUP(C322,'計算書（第6回）'!$C$123:$U$124,2,TRUE),0)</f>
        <v>0</v>
      </c>
      <c r="P322" s="209">
        <f>IF('信用保険料計算書（上限2000万）'!$Q$15="",0,IF($B322&lt;'信用保険料計算書（上限2000万）'!$Q$15,0,IF($B322&gt;'信用保険料計算書（上限2000万）'!$Q$16,0,1)))</f>
        <v>0</v>
      </c>
      <c r="Q322" s="209">
        <f>IF(P322=1,HLOOKUP(C322,'計算書（第7回）'!$C$123:$U$124,2,TRUE),0)</f>
        <v>0</v>
      </c>
      <c r="R322" s="213"/>
      <c r="S322" s="211">
        <f>COUNTIF($AB$13:$AB$19,"&lt;=2031/11/1")</f>
        <v>2</v>
      </c>
      <c r="T322" s="178">
        <f t="shared" si="30"/>
        <v>44743</v>
      </c>
      <c r="U322" s="181">
        <f t="shared" si="28"/>
        <v>0</v>
      </c>
      <c r="V322" s="182">
        <f t="shared" si="36"/>
        <v>0</v>
      </c>
      <c r="W322" s="245">
        <f t="shared" si="31"/>
        <v>0</v>
      </c>
      <c r="X322" s="182"/>
    </row>
    <row r="323" spans="2:24">
      <c r="B323" s="214">
        <f t="shared" si="29"/>
        <v>50375</v>
      </c>
      <c r="C323" s="198">
        <f t="shared" ref="C323:C386" si="37">EDATE(B323,-1)</f>
        <v>50345</v>
      </c>
      <c r="D323" s="209">
        <f>IF(B323&lt;'信用保険料計算書（上限2000万）'!$E$15,0,IF(B323&gt;'信用保険料計算書（上限2000万）'!$E$16,0,1))</f>
        <v>0</v>
      </c>
      <c r="E323" s="209">
        <f>IF(D323=1,HLOOKUP(C323,'計算書（第1回）'!$C$123:$U$124,2,TRUE),0)</f>
        <v>0</v>
      </c>
      <c r="F323" s="209">
        <f>IF('信用保険料計算書（上限2000万）'!$G$15="",0,IF($B323&lt;'信用保険料計算書（上限2000万）'!$G$15,0,IF($B323&gt;'信用保険料計算書（上限2000万）'!$G$16,0,1)))</f>
        <v>0</v>
      </c>
      <c r="G323" s="209">
        <f>IF(F323=1,HLOOKUP(C323,'計算書（第2回）'!$C$123:$U$124,2,TRUE),0)</f>
        <v>0</v>
      </c>
      <c r="H323" s="209">
        <f>IF('信用保険料計算書（上限2000万）'!$I$15="",0,IF($B323&lt;'信用保険料計算書（上限2000万）'!$I$15,0,IF($B323&gt;'信用保険料計算書（上限2000万）'!$I$16,0,1)))</f>
        <v>0</v>
      </c>
      <c r="I323" s="209">
        <f>IF(H323=1,HLOOKUP(C323,'計算書（第3回）'!$C$123:$U$124,2,TRUE),0)</f>
        <v>0</v>
      </c>
      <c r="J323" s="209">
        <f>IF('信用保険料計算書（上限2000万）'!$K$15="",0,IF($B323&lt;'信用保険料計算書（上限2000万）'!$K$15,0,IF($B323&gt;'信用保険料計算書（上限2000万）'!$K$16,0,1)))</f>
        <v>0</v>
      </c>
      <c r="K323" s="209">
        <f>IF(J323=1,HLOOKUP(C323,'計算書（第4回）'!$C$123:$U$124,2,TRUE),0)</f>
        <v>0</v>
      </c>
      <c r="L323" s="209">
        <f>IF('信用保険料計算書（上限2000万）'!$M$15="",0,IF($B323&lt;'信用保険料計算書（上限2000万）'!$M$15,0,IF($B323&gt;'信用保険料計算書（上限2000万）'!$M$16,0,1)))</f>
        <v>0</v>
      </c>
      <c r="M323" s="209">
        <f>IF(L323=1,HLOOKUP(C323,'計算書（第5回）'!$C$123:$U$124,2,TRUE),0)</f>
        <v>0</v>
      </c>
      <c r="N323" s="209">
        <f>IF('信用保険料計算書（上限2000万）'!$O$15="",0,IF($B323&lt;'信用保険料計算書（上限2000万）'!$O$15,0,IF($B323&gt;'信用保険料計算書（上限2000万）'!$O$16,0,1)))</f>
        <v>0</v>
      </c>
      <c r="O323" s="209">
        <f>IF(N323=1,HLOOKUP(C323,'計算書（第6回）'!$C$123:$U$124,2,TRUE),0)</f>
        <v>0</v>
      </c>
      <c r="P323" s="209">
        <f>IF('信用保険料計算書（上限2000万）'!$Q$15="",0,IF($B323&lt;'信用保険料計算書（上限2000万）'!$Q$15,0,IF($B323&gt;'信用保険料計算書（上限2000万）'!$Q$16,0,1)))</f>
        <v>0</v>
      </c>
      <c r="Q323" s="209">
        <f>IF(P323=1,HLOOKUP(C323,'計算書（第7回）'!$C$123:$U$124,2,TRUE),0)</f>
        <v>0</v>
      </c>
      <c r="R323" s="213"/>
      <c r="S323" s="211">
        <f>COUNTIF($AB$13:$AB$19,"&lt;=2031/12/1")</f>
        <v>2</v>
      </c>
      <c r="T323" s="178">
        <f t="shared" si="30"/>
        <v>44743</v>
      </c>
      <c r="U323" s="181">
        <f t="shared" ref="U323:U386" si="38">E323+G323+I323+K323+M323+O323+Q323</f>
        <v>0</v>
      </c>
      <c r="V323" s="182">
        <f t="shared" si="36"/>
        <v>0</v>
      </c>
      <c r="W323" s="245">
        <f t="shared" si="31"/>
        <v>0</v>
      </c>
      <c r="X323" s="182"/>
    </row>
    <row r="324" spans="2:24">
      <c r="B324" s="214">
        <f t="shared" ref="B324:B387" si="39">EDATE(B323,1)</f>
        <v>50406</v>
      </c>
      <c r="C324" s="198">
        <f t="shared" si="37"/>
        <v>50375</v>
      </c>
      <c r="D324" s="209">
        <f>IF(B324&lt;'信用保険料計算書（上限2000万）'!$E$15,0,IF(B324&gt;'信用保険料計算書（上限2000万）'!$E$16,0,1))</f>
        <v>0</v>
      </c>
      <c r="E324" s="209">
        <f>IF(D324=1,HLOOKUP(C324,'計算書（第1回）'!$C$123:$U$124,2,TRUE),0)</f>
        <v>0</v>
      </c>
      <c r="F324" s="209">
        <f>IF('信用保険料計算書（上限2000万）'!$G$15="",0,IF($B324&lt;'信用保険料計算書（上限2000万）'!$G$15,0,IF($B324&gt;'信用保険料計算書（上限2000万）'!$G$16,0,1)))</f>
        <v>0</v>
      </c>
      <c r="G324" s="209">
        <f>IF(F324=1,HLOOKUP(C324,'計算書（第2回）'!$C$123:$U$124,2,TRUE),0)</f>
        <v>0</v>
      </c>
      <c r="H324" s="209">
        <f>IF('信用保険料計算書（上限2000万）'!$I$15="",0,IF($B324&lt;'信用保険料計算書（上限2000万）'!$I$15,0,IF($B324&gt;'信用保険料計算書（上限2000万）'!$I$16,0,1)))</f>
        <v>0</v>
      </c>
      <c r="I324" s="209">
        <f>IF(H324=1,HLOOKUP(C324,'計算書（第3回）'!$C$123:$U$124,2,TRUE),0)</f>
        <v>0</v>
      </c>
      <c r="J324" s="209">
        <f>IF('信用保険料計算書（上限2000万）'!$K$15="",0,IF($B324&lt;'信用保険料計算書（上限2000万）'!$K$15,0,IF($B324&gt;'信用保険料計算書（上限2000万）'!$K$16,0,1)))</f>
        <v>0</v>
      </c>
      <c r="K324" s="209">
        <f>IF(J324=1,HLOOKUP(C324,'計算書（第4回）'!$C$123:$U$124,2,TRUE),0)</f>
        <v>0</v>
      </c>
      <c r="L324" s="209">
        <f>IF('信用保険料計算書（上限2000万）'!$M$15="",0,IF($B324&lt;'信用保険料計算書（上限2000万）'!$M$15,0,IF($B324&gt;'信用保険料計算書（上限2000万）'!$M$16,0,1)))</f>
        <v>0</v>
      </c>
      <c r="M324" s="209">
        <f>IF(L324=1,HLOOKUP(C324,'計算書（第5回）'!$C$123:$U$124,2,TRUE),0)</f>
        <v>0</v>
      </c>
      <c r="N324" s="209">
        <f>IF('信用保険料計算書（上限2000万）'!$O$15="",0,IF($B324&lt;'信用保険料計算書（上限2000万）'!$O$15,0,IF($B324&gt;'信用保険料計算書（上限2000万）'!$O$16,0,1)))</f>
        <v>0</v>
      </c>
      <c r="O324" s="209">
        <f>IF(N324=1,HLOOKUP(C324,'計算書（第6回）'!$C$123:$U$124,2,TRUE),0)</f>
        <v>0</v>
      </c>
      <c r="P324" s="209">
        <f>IF('信用保険料計算書（上限2000万）'!$Q$15="",0,IF($B324&lt;'信用保険料計算書（上限2000万）'!$Q$15,0,IF($B324&gt;'信用保険料計算書（上限2000万）'!$Q$16,0,1)))</f>
        <v>0</v>
      </c>
      <c r="Q324" s="209">
        <f>IF(P324=1,HLOOKUP(C324,'計算書（第7回）'!$C$123:$U$124,2,TRUE),0)</f>
        <v>0</v>
      </c>
      <c r="R324" s="212"/>
      <c r="S324" s="211">
        <f>COUNTIF($AB$13:$AB$19,"&lt;=2032/1/1")</f>
        <v>2</v>
      </c>
      <c r="T324" s="178">
        <f t="shared" ref="T324:T387" si="40">IF(S324="","",SMALL($AB$13:$AB$19,$S324))</f>
        <v>44743</v>
      </c>
      <c r="U324" s="181">
        <f t="shared" si="38"/>
        <v>0</v>
      </c>
      <c r="V324" s="182">
        <f t="shared" si="36"/>
        <v>0</v>
      </c>
      <c r="W324" s="245">
        <f t="shared" ref="W324:W387" si="41">IF(V324=0,0,ROUNDDOWN(V324*0.0048/12,2))</f>
        <v>0</v>
      </c>
      <c r="X324" s="182"/>
    </row>
    <row r="325" spans="2:24">
      <c r="B325" s="214">
        <f t="shared" si="39"/>
        <v>50437</v>
      </c>
      <c r="C325" s="198">
        <f t="shared" si="37"/>
        <v>50406</v>
      </c>
      <c r="D325" s="209">
        <f>IF(B325&lt;'信用保険料計算書（上限2000万）'!$E$15,0,IF(B325&gt;'信用保険料計算書（上限2000万）'!$E$16,0,1))</f>
        <v>0</v>
      </c>
      <c r="E325" s="209">
        <f>IF(D325=1,HLOOKUP(C325,'計算書（第1回）'!$C$123:$U$124,2,TRUE),0)</f>
        <v>0</v>
      </c>
      <c r="F325" s="209">
        <f>IF('信用保険料計算書（上限2000万）'!$G$15="",0,IF($B325&lt;'信用保険料計算書（上限2000万）'!$G$15,0,IF($B325&gt;'信用保険料計算書（上限2000万）'!$G$16,0,1)))</f>
        <v>0</v>
      </c>
      <c r="G325" s="209">
        <f>IF(F325=1,HLOOKUP(C325,'計算書（第2回）'!$C$123:$U$124,2,TRUE),0)</f>
        <v>0</v>
      </c>
      <c r="H325" s="209">
        <f>IF('信用保険料計算書（上限2000万）'!$I$15="",0,IF($B325&lt;'信用保険料計算書（上限2000万）'!$I$15,0,IF($B325&gt;'信用保険料計算書（上限2000万）'!$I$16,0,1)))</f>
        <v>0</v>
      </c>
      <c r="I325" s="209">
        <f>IF(H325=1,HLOOKUP(C325,'計算書（第3回）'!$C$123:$U$124,2,TRUE),0)</f>
        <v>0</v>
      </c>
      <c r="J325" s="209">
        <f>IF('信用保険料計算書（上限2000万）'!$K$15="",0,IF($B325&lt;'信用保険料計算書（上限2000万）'!$K$15,0,IF($B325&gt;'信用保険料計算書（上限2000万）'!$K$16,0,1)))</f>
        <v>0</v>
      </c>
      <c r="K325" s="209">
        <f>IF(J325=1,HLOOKUP(C325,'計算書（第4回）'!$C$123:$U$124,2,TRUE),0)</f>
        <v>0</v>
      </c>
      <c r="L325" s="209">
        <f>IF('信用保険料計算書（上限2000万）'!$M$15="",0,IF($B325&lt;'信用保険料計算書（上限2000万）'!$M$15,0,IF($B325&gt;'信用保険料計算書（上限2000万）'!$M$16,0,1)))</f>
        <v>0</v>
      </c>
      <c r="M325" s="209">
        <f>IF(L325=1,HLOOKUP(C325,'計算書（第5回）'!$C$123:$U$124,2,TRUE),0)</f>
        <v>0</v>
      </c>
      <c r="N325" s="209">
        <f>IF('信用保険料計算書（上限2000万）'!$O$15="",0,IF($B325&lt;'信用保険料計算書（上限2000万）'!$O$15,0,IF($B325&gt;'信用保険料計算書（上限2000万）'!$O$16,0,1)))</f>
        <v>0</v>
      </c>
      <c r="O325" s="209">
        <f>IF(N325=1,HLOOKUP(C325,'計算書（第6回）'!$C$123:$U$124,2,TRUE),0)</f>
        <v>0</v>
      </c>
      <c r="P325" s="209">
        <f>IF('信用保険料計算書（上限2000万）'!$Q$15="",0,IF($B325&lt;'信用保険料計算書（上限2000万）'!$Q$15,0,IF($B325&gt;'信用保険料計算書（上限2000万）'!$Q$16,0,1)))</f>
        <v>0</v>
      </c>
      <c r="Q325" s="209">
        <f>IF(P325=1,HLOOKUP(C325,'計算書（第7回）'!$C$123:$U$124,2,TRUE),0)</f>
        <v>0</v>
      </c>
      <c r="R325" s="212"/>
      <c r="S325" s="211">
        <f>COUNTIF($AB$13:$AB$19,"&lt;=2032/2/1")</f>
        <v>2</v>
      </c>
      <c r="T325" s="178">
        <f t="shared" si="40"/>
        <v>44743</v>
      </c>
      <c r="U325" s="181">
        <f t="shared" si="38"/>
        <v>0</v>
      </c>
      <c r="V325" s="182">
        <f t="shared" si="36"/>
        <v>0</v>
      </c>
      <c r="W325" s="245">
        <f t="shared" si="41"/>
        <v>0</v>
      </c>
      <c r="X325" s="182"/>
    </row>
    <row r="326" spans="2:24">
      <c r="B326" s="214">
        <f t="shared" si="39"/>
        <v>50465</v>
      </c>
      <c r="C326" s="198">
        <f t="shared" si="37"/>
        <v>50437</v>
      </c>
      <c r="D326" s="209">
        <f>IF(B326&lt;'信用保険料計算書（上限2000万）'!$E$15,0,IF(B326&gt;'信用保険料計算書（上限2000万）'!$E$16,0,1))</f>
        <v>0</v>
      </c>
      <c r="E326" s="209">
        <f>IF(D326=1,HLOOKUP(C326,'計算書（第1回）'!$C$123:$U$124,2,TRUE),0)</f>
        <v>0</v>
      </c>
      <c r="F326" s="209">
        <f>IF('信用保険料計算書（上限2000万）'!$G$15="",0,IF($B326&lt;'信用保険料計算書（上限2000万）'!$G$15,0,IF($B326&gt;'信用保険料計算書（上限2000万）'!$G$16,0,1)))</f>
        <v>0</v>
      </c>
      <c r="G326" s="209">
        <f>IF(F326=1,HLOOKUP(C326,'計算書（第2回）'!$C$123:$U$124,2,TRUE),0)</f>
        <v>0</v>
      </c>
      <c r="H326" s="209">
        <f>IF('信用保険料計算書（上限2000万）'!$I$15="",0,IF($B326&lt;'信用保険料計算書（上限2000万）'!$I$15,0,IF($B326&gt;'信用保険料計算書（上限2000万）'!$I$16,0,1)))</f>
        <v>0</v>
      </c>
      <c r="I326" s="209">
        <f>IF(H326=1,HLOOKUP(C326,'計算書（第3回）'!$C$123:$U$124,2,TRUE),0)</f>
        <v>0</v>
      </c>
      <c r="J326" s="209">
        <f>IF('信用保険料計算書（上限2000万）'!$K$15="",0,IF($B326&lt;'信用保険料計算書（上限2000万）'!$K$15,0,IF($B326&gt;'信用保険料計算書（上限2000万）'!$K$16,0,1)))</f>
        <v>0</v>
      </c>
      <c r="K326" s="209">
        <f>IF(J326=1,HLOOKUP(C326,'計算書（第4回）'!$C$123:$U$124,2,TRUE),0)</f>
        <v>0</v>
      </c>
      <c r="L326" s="209">
        <f>IF('信用保険料計算書（上限2000万）'!$M$15="",0,IF($B326&lt;'信用保険料計算書（上限2000万）'!$M$15,0,IF($B326&gt;'信用保険料計算書（上限2000万）'!$M$16,0,1)))</f>
        <v>0</v>
      </c>
      <c r="M326" s="209">
        <f>IF(L326=1,HLOOKUP(C326,'計算書（第5回）'!$C$123:$U$124,2,TRUE),0)</f>
        <v>0</v>
      </c>
      <c r="N326" s="209">
        <f>IF('信用保険料計算書（上限2000万）'!$O$15="",0,IF($B326&lt;'信用保険料計算書（上限2000万）'!$O$15,0,IF($B326&gt;'信用保険料計算書（上限2000万）'!$O$16,0,1)))</f>
        <v>0</v>
      </c>
      <c r="O326" s="209">
        <f>IF(N326=1,HLOOKUP(C326,'計算書（第6回）'!$C$123:$U$124,2,TRUE),0)</f>
        <v>0</v>
      </c>
      <c r="P326" s="209">
        <f>IF('信用保険料計算書（上限2000万）'!$Q$15="",0,IF($B326&lt;'信用保険料計算書（上限2000万）'!$Q$15,0,IF($B326&gt;'信用保険料計算書（上限2000万）'!$Q$16,0,1)))</f>
        <v>0</v>
      </c>
      <c r="Q326" s="209">
        <f>IF(P326=1,HLOOKUP(C326,'計算書（第7回）'!$C$123:$U$124,2,TRUE),0)</f>
        <v>0</v>
      </c>
      <c r="R326" s="212"/>
      <c r="S326" s="211">
        <f>COUNTIF($AB$13:$AB$19,"&lt;=2032/3/1")</f>
        <v>2</v>
      </c>
      <c r="T326" s="178">
        <f t="shared" si="40"/>
        <v>44743</v>
      </c>
      <c r="U326" s="181">
        <f t="shared" si="38"/>
        <v>0</v>
      </c>
      <c r="V326" s="182">
        <f t="shared" si="36"/>
        <v>0</v>
      </c>
      <c r="W326" s="245">
        <f t="shared" si="41"/>
        <v>0</v>
      </c>
      <c r="X326" s="183">
        <f>INT(SUM(W321:W326))</f>
        <v>0</v>
      </c>
    </row>
    <row r="327" spans="2:24">
      <c r="B327" s="214">
        <f t="shared" si="39"/>
        <v>50496</v>
      </c>
      <c r="C327" s="198">
        <f t="shared" si="37"/>
        <v>50465</v>
      </c>
      <c r="D327" s="209">
        <f>IF(B327&lt;'信用保険料計算書（上限2000万）'!$E$15,0,IF(B327&gt;'信用保険料計算書（上限2000万）'!$E$16,0,1))</f>
        <v>0</v>
      </c>
      <c r="E327" s="209">
        <f>IF(D327=1,HLOOKUP(C327,'計算書（第1回）'!$C$123:$U$124,2,TRUE),0)</f>
        <v>0</v>
      </c>
      <c r="F327" s="209">
        <f>IF('信用保険料計算書（上限2000万）'!$G$15="",0,IF($B327&lt;'信用保険料計算書（上限2000万）'!$G$15,0,IF($B327&gt;'信用保険料計算書（上限2000万）'!$G$16,0,1)))</f>
        <v>0</v>
      </c>
      <c r="G327" s="209">
        <f>IF(F327=1,HLOOKUP(C327,'計算書（第2回）'!$C$123:$U$124,2,TRUE),0)</f>
        <v>0</v>
      </c>
      <c r="H327" s="209">
        <f>IF('信用保険料計算書（上限2000万）'!$I$15="",0,IF($B327&lt;'信用保険料計算書（上限2000万）'!$I$15,0,IF($B327&gt;'信用保険料計算書（上限2000万）'!$I$16,0,1)))</f>
        <v>0</v>
      </c>
      <c r="I327" s="209">
        <f>IF(H327=1,HLOOKUP(C327,'計算書（第3回）'!$C$123:$U$124,2,TRUE),0)</f>
        <v>0</v>
      </c>
      <c r="J327" s="209">
        <f>IF('信用保険料計算書（上限2000万）'!$K$15="",0,IF($B327&lt;'信用保険料計算書（上限2000万）'!$K$15,0,IF($B327&gt;'信用保険料計算書（上限2000万）'!$K$16,0,1)))</f>
        <v>0</v>
      </c>
      <c r="K327" s="209">
        <f>IF(J327=1,HLOOKUP(C327,'計算書（第4回）'!$C$123:$U$124,2,TRUE),0)</f>
        <v>0</v>
      </c>
      <c r="L327" s="209">
        <f>IF('信用保険料計算書（上限2000万）'!$M$15="",0,IF($B327&lt;'信用保険料計算書（上限2000万）'!$M$15,0,IF($B327&gt;'信用保険料計算書（上限2000万）'!$M$16,0,1)))</f>
        <v>0</v>
      </c>
      <c r="M327" s="209">
        <f>IF(L327=1,HLOOKUP(C327,'計算書（第5回）'!$C$123:$U$124,2,TRUE),0)</f>
        <v>0</v>
      </c>
      <c r="N327" s="209">
        <f>IF('信用保険料計算書（上限2000万）'!$O$15="",0,IF($B327&lt;'信用保険料計算書（上限2000万）'!$O$15,0,IF($B327&gt;'信用保険料計算書（上限2000万）'!$O$16,0,1)))</f>
        <v>0</v>
      </c>
      <c r="O327" s="209">
        <f>IF(N327=1,HLOOKUP(C327,'計算書（第6回）'!$C$123:$U$124,2,TRUE),0)</f>
        <v>0</v>
      </c>
      <c r="P327" s="209">
        <f>IF('信用保険料計算書（上限2000万）'!$Q$15="",0,IF($B327&lt;'信用保険料計算書（上限2000万）'!$Q$15,0,IF($B327&gt;'信用保険料計算書（上限2000万）'!$Q$16,0,1)))</f>
        <v>0</v>
      </c>
      <c r="Q327" s="209">
        <f>IF(P327=1,HLOOKUP(C327,'計算書（第7回）'!$C$123:$U$124,2,TRUE),0)</f>
        <v>0</v>
      </c>
      <c r="R327" s="213"/>
      <c r="S327" s="211">
        <f>COUNTIF($AB$13:$AB$19,"&lt;=2031/4/1")</f>
        <v>2</v>
      </c>
      <c r="T327" s="178">
        <f t="shared" si="40"/>
        <v>44743</v>
      </c>
      <c r="U327" s="181">
        <f t="shared" si="38"/>
        <v>0</v>
      </c>
      <c r="V327" s="182">
        <f t="shared" ref="V327:V338" si="42">IF(U327=0,0,IF(U327&gt;VLOOKUP(T327,$AA$5:$AB$8,2,TRUE),VLOOKUP(T327,$AA$5:$AB$8,2,TRUE),U327))</f>
        <v>0</v>
      </c>
      <c r="W327" s="245">
        <f t="shared" si="41"/>
        <v>0</v>
      </c>
      <c r="X327" s="182"/>
    </row>
    <row r="328" spans="2:24">
      <c r="B328" s="214">
        <f t="shared" si="39"/>
        <v>50526</v>
      </c>
      <c r="C328" s="198">
        <f t="shared" si="37"/>
        <v>50496</v>
      </c>
      <c r="D328" s="209">
        <f>IF(B328&lt;'信用保険料計算書（上限2000万）'!$E$15,0,IF(B328&gt;'信用保険料計算書（上限2000万）'!$E$16,0,1))</f>
        <v>0</v>
      </c>
      <c r="E328" s="209">
        <f>IF(D328=1,HLOOKUP(C328,'計算書（第1回）'!$C$123:$U$124,2,TRUE),0)</f>
        <v>0</v>
      </c>
      <c r="F328" s="209">
        <f>IF('信用保険料計算書（上限2000万）'!$G$15="",0,IF($B328&lt;'信用保険料計算書（上限2000万）'!$G$15,0,IF($B328&gt;'信用保険料計算書（上限2000万）'!$G$16,0,1)))</f>
        <v>0</v>
      </c>
      <c r="G328" s="209">
        <f>IF(F328=1,HLOOKUP(C328,'計算書（第2回）'!$C$123:$U$124,2,TRUE),0)</f>
        <v>0</v>
      </c>
      <c r="H328" s="209">
        <f>IF('信用保険料計算書（上限2000万）'!$I$15="",0,IF($B328&lt;'信用保険料計算書（上限2000万）'!$I$15,0,IF($B328&gt;'信用保険料計算書（上限2000万）'!$I$16,0,1)))</f>
        <v>0</v>
      </c>
      <c r="I328" s="209">
        <f>IF(H328=1,HLOOKUP(C328,'計算書（第3回）'!$C$123:$U$124,2,TRUE),0)</f>
        <v>0</v>
      </c>
      <c r="J328" s="209">
        <f>IF('信用保険料計算書（上限2000万）'!$K$15="",0,IF($B328&lt;'信用保険料計算書（上限2000万）'!$K$15,0,IF($B328&gt;'信用保険料計算書（上限2000万）'!$K$16,0,1)))</f>
        <v>0</v>
      </c>
      <c r="K328" s="209">
        <f>IF(J328=1,HLOOKUP(C328,'計算書（第4回）'!$C$123:$U$124,2,TRUE),0)</f>
        <v>0</v>
      </c>
      <c r="L328" s="209">
        <f>IF('信用保険料計算書（上限2000万）'!$M$15="",0,IF($B328&lt;'信用保険料計算書（上限2000万）'!$M$15,0,IF($B328&gt;'信用保険料計算書（上限2000万）'!$M$16,0,1)))</f>
        <v>0</v>
      </c>
      <c r="M328" s="209">
        <f>IF(L328=1,HLOOKUP(C328,'計算書（第5回）'!$C$123:$U$124,2,TRUE),0)</f>
        <v>0</v>
      </c>
      <c r="N328" s="209">
        <f>IF('信用保険料計算書（上限2000万）'!$O$15="",0,IF($B328&lt;'信用保険料計算書（上限2000万）'!$O$15,0,IF($B328&gt;'信用保険料計算書（上限2000万）'!$O$16,0,1)))</f>
        <v>0</v>
      </c>
      <c r="O328" s="209">
        <f>IF(N328=1,HLOOKUP(C328,'計算書（第6回）'!$C$123:$U$124,2,TRUE),0)</f>
        <v>0</v>
      </c>
      <c r="P328" s="209">
        <f>IF('信用保険料計算書（上限2000万）'!$Q$15="",0,IF($B328&lt;'信用保険料計算書（上限2000万）'!$Q$15,0,IF($B328&gt;'信用保険料計算書（上限2000万）'!$Q$16,0,1)))</f>
        <v>0</v>
      </c>
      <c r="Q328" s="209">
        <f>IF(P328=1,HLOOKUP(C328,'計算書（第7回）'!$C$123:$U$124,2,TRUE),0)</f>
        <v>0</v>
      </c>
      <c r="R328" s="213"/>
      <c r="S328" s="211">
        <f>COUNTIF($AB$13:$AB$19,"&lt;=2031/5/1")</f>
        <v>2</v>
      </c>
      <c r="T328" s="178">
        <f t="shared" si="40"/>
        <v>44743</v>
      </c>
      <c r="U328" s="181">
        <f t="shared" si="38"/>
        <v>0</v>
      </c>
      <c r="V328" s="182">
        <f t="shared" si="42"/>
        <v>0</v>
      </c>
      <c r="W328" s="245">
        <f t="shared" si="41"/>
        <v>0</v>
      </c>
      <c r="X328" s="182"/>
    </row>
    <row r="329" spans="2:24">
      <c r="B329" s="214">
        <f t="shared" si="39"/>
        <v>50557</v>
      </c>
      <c r="C329" s="198">
        <f t="shared" si="37"/>
        <v>50526</v>
      </c>
      <c r="D329" s="209">
        <f>IF(B329&lt;'信用保険料計算書（上限2000万）'!$E$15,0,IF(B329&gt;'信用保険料計算書（上限2000万）'!$E$16,0,1))</f>
        <v>0</v>
      </c>
      <c r="E329" s="209">
        <f>IF(D329=1,HLOOKUP(C329,'計算書（第1回）'!$C$123:$U$124,2,TRUE),0)</f>
        <v>0</v>
      </c>
      <c r="F329" s="209">
        <f>IF('信用保険料計算書（上限2000万）'!$G$15="",0,IF($B329&lt;'信用保険料計算書（上限2000万）'!$G$15,0,IF($B329&gt;'信用保険料計算書（上限2000万）'!$G$16,0,1)))</f>
        <v>0</v>
      </c>
      <c r="G329" s="209">
        <f>IF(F329=1,HLOOKUP(C329,'計算書（第2回）'!$C$123:$U$124,2,TRUE),0)</f>
        <v>0</v>
      </c>
      <c r="H329" s="209">
        <f>IF('信用保険料計算書（上限2000万）'!$I$15="",0,IF($B329&lt;'信用保険料計算書（上限2000万）'!$I$15,0,IF($B329&gt;'信用保険料計算書（上限2000万）'!$I$16,0,1)))</f>
        <v>0</v>
      </c>
      <c r="I329" s="209">
        <f>IF(H329=1,HLOOKUP(C329,'計算書（第3回）'!$C$123:$U$124,2,TRUE),0)</f>
        <v>0</v>
      </c>
      <c r="J329" s="209">
        <f>IF('信用保険料計算書（上限2000万）'!$K$15="",0,IF($B329&lt;'信用保険料計算書（上限2000万）'!$K$15,0,IF($B329&gt;'信用保険料計算書（上限2000万）'!$K$16,0,1)))</f>
        <v>0</v>
      </c>
      <c r="K329" s="209">
        <f>IF(J329=1,HLOOKUP(C329,'計算書（第4回）'!$C$123:$U$124,2,TRUE),0)</f>
        <v>0</v>
      </c>
      <c r="L329" s="209">
        <f>IF('信用保険料計算書（上限2000万）'!$M$15="",0,IF($B329&lt;'信用保険料計算書（上限2000万）'!$M$15,0,IF($B329&gt;'信用保険料計算書（上限2000万）'!$M$16,0,1)))</f>
        <v>0</v>
      </c>
      <c r="M329" s="209">
        <f>IF(L329=1,HLOOKUP(C329,'計算書（第5回）'!$C$123:$U$124,2,TRUE),0)</f>
        <v>0</v>
      </c>
      <c r="N329" s="209">
        <f>IF('信用保険料計算書（上限2000万）'!$O$15="",0,IF($B329&lt;'信用保険料計算書（上限2000万）'!$O$15,0,IF($B329&gt;'信用保険料計算書（上限2000万）'!$O$16,0,1)))</f>
        <v>0</v>
      </c>
      <c r="O329" s="209">
        <f>IF(N329=1,HLOOKUP(C329,'計算書（第6回）'!$C$123:$U$124,2,TRUE),0)</f>
        <v>0</v>
      </c>
      <c r="P329" s="209">
        <f>IF('信用保険料計算書（上限2000万）'!$Q$15="",0,IF($B329&lt;'信用保険料計算書（上限2000万）'!$Q$15,0,IF($B329&gt;'信用保険料計算書（上限2000万）'!$Q$16,0,1)))</f>
        <v>0</v>
      </c>
      <c r="Q329" s="209">
        <f>IF(P329=1,HLOOKUP(C329,'計算書（第7回）'!$C$123:$U$124,2,TRUE),0)</f>
        <v>0</v>
      </c>
      <c r="R329" s="213"/>
      <c r="S329" s="211">
        <f>COUNTIF($AB$13:$AB$19,"&lt;=2031/6/1")</f>
        <v>2</v>
      </c>
      <c r="T329" s="178">
        <f t="shared" si="40"/>
        <v>44743</v>
      </c>
      <c r="U329" s="181">
        <f t="shared" si="38"/>
        <v>0</v>
      </c>
      <c r="V329" s="182">
        <f t="shared" si="42"/>
        <v>0</v>
      </c>
      <c r="W329" s="245">
        <f t="shared" si="41"/>
        <v>0</v>
      </c>
      <c r="X329" s="182"/>
    </row>
    <row r="330" spans="2:24">
      <c r="B330" s="214">
        <f t="shared" si="39"/>
        <v>50587</v>
      </c>
      <c r="C330" s="198">
        <f t="shared" si="37"/>
        <v>50557</v>
      </c>
      <c r="D330" s="209">
        <f>IF(B330&lt;'信用保険料計算書（上限2000万）'!$E$15,0,IF(B330&gt;'信用保険料計算書（上限2000万）'!$E$16,0,1))</f>
        <v>0</v>
      </c>
      <c r="E330" s="209">
        <f>IF(D330=1,HLOOKUP(C330,'計算書（第1回）'!$C$123:$U$124,2,TRUE),0)</f>
        <v>0</v>
      </c>
      <c r="F330" s="209">
        <f>IF('信用保険料計算書（上限2000万）'!$G$15="",0,IF($B330&lt;'信用保険料計算書（上限2000万）'!$G$15,0,IF($B330&gt;'信用保険料計算書（上限2000万）'!$G$16,0,1)))</f>
        <v>0</v>
      </c>
      <c r="G330" s="209">
        <f>IF(F330=1,HLOOKUP(C330,'計算書（第2回）'!$C$123:$U$124,2,TRUE),0)</f>
        <v>0</v>
      </c>
      <c r="H330" s="209">
        <f>IF('信用保険料計算書（上限2000万）'!$I$15="",0,IF($B330&lt;'信用保険料計算書（上限2000万）'!$I$15,0,IF($B330&gt;'信用保険料計算書（上限2000万）'!$I$16,0,1)))</f>
        <v>0</v>
      </c>
      <c r="I330" s="209">
        <f>IF(H330=1,HLOOKUP(C330,'計算書（第3回）'!$C$123:$U$124,2,TRUE),0)</f>
        <v>0</v>
      </c>
      <c r="J330" s="209">
        <f>IF('信用保険料計算書（上限2000万）'!$K$15="",0,IF($B330&lt;'信用保険料計算書（上限2000万）'!$K$15,0,IF($B330&gt;'信用保険料計算書（上限2000万）'!$K$16,0,1)))</f>
        <v>0</v>
      </c>
      <c r="K330" s="209">
        <f>IF(J330=1,HLOOKUP(C330,'計算書（第4回）'!$C$123:$U$124,2,TRUE),0)</f>
        <v>0</v>
      </c>
      <c r="L330" s="209">
        <f>IF('信用保険料計算書（上限2000万）'!$M$15="",0,IF($B330&lt;'信用保険料計算書（上限2000万）'!$M$15,0,IF($B330&gt;'信用保険料計算書（上限2000万）'!$M$16,0,1)))</f>
        <v>0</v>
      </c>
      <c r="M330" s="209">
        <f>IF(L330=1,HLOOKUP(C330,'計算書（第5回）'!$C$123:$U$124,2,TRUE),0)</f>
        <v>0</v>
      </c>
      <c r="N330" s="209">
        <f>IF('信用保険料計算書（上限2000万）'!$O$15="",0,IF($B330&lt;'信用保険料計算書（上限2000万）'!$O$15,0,IF($B330&gt;'信用保険料計算書（上限2000万）'!$O$16,0,1)))</f>
        <v>0</v>
      </c>
      <c r="O330" s="209">
        <f>IF(N330=1,HLOOKUP(C330,'計算書（第6回）'!$C$123:$U$124,2,TRUE),0)</f>
        <v>0</v>
      </c>
      <c r="P330" s="209">
        <f>IF('信用保険料計算書（上限2000万）'!$Q$15="",0,IF($B330&lt;'信用保険料計算書（上限2000万）'!$Q$15,0,IF($B330&gt;'信用保険料計算書（上限2000万）'!$Q$16,0,1)))</f>
        <v>0</v>
      </c>
      <c r="Q330" s="209">
        <f>IF(P330=1,HLOOKUP(C330,'計算書（第7回）'!$C$123:$U$124,2,TRUE),0)</f>
        <v>0</v>
      </c>
      <c r="R330" s="213"/>
      <c r="S330" s="211">
        <f>COUNTIF($AB$13:$AB$19,"&lt;=2031/7/1")</f>
        <v>2</v>
      </c>
      <c r="T330" s="178">
        <f t="shared" si="40"/>
        <v>44743</v>
      </c>
      <c r="U330" s="181">
        <f t="shared" si="38"/>
        <v>0</v>
      </c>
      <c r="V330" s="182">
        <f t="shared" si="42"/>
        <v>0</v>
      </c>
      <c r="W330" s="245">
        <f t="shared" si="41"/>
        <v>0</v>
      </c>
      <c r="X330" s="182"/>
    </row>
    <row r="331" spans="2:24">
      <c r="B331" s="214">
        <f t="shared" si="39"/>
        <v>50618</v>
      </c>
      <c r="C331" s="198">
        <f t="shared" si="37"/>
        <v>50587</v>
      </c>
      <c r="D331" s="209">
        <f>IF(B331&lt;'信用保険料計算書（上限2000万）'!$E$15,0,IF(B331&gt;'信用保険料計算書（上限2000万）'!$E$16,0,1))</f>
        <v>0</v>
      </c>
      <c r="E331" s="209">
        <f>IF(D331=1,HLOOKUP(C331,'計算書（第1回）'!$C$123:$U$124,2,TRUE),0)</f>
        <v>0</v>
      </c>
      <c r="F331" s="209">
        <f>IF('信用保険料計算書（上限2000万）'!$G$15="",0,IF($B331&lt;'信用保険料計算書（上限2000万）'!$G$15,0,IF($B331&gt;'信用保険料計算書（上限2000万）'!$G$16,0,1)))</f>
        <v>0</v>
      </c>
      <c r="G331" s="209">
        <f>IF(F331=1,HLOOKUP(C331,'計算書（第2回）'!$C$123:$U$124,2,TRUE),0)</f>
        <v>0</v>
      </c>
      <c r="H331" s="209">
        <f>IF('信用保険料計算書（上限2000万）'!$I$15="",0,IF($B331&lt;'信用保険料計算書（上限2000万）'!$I$15,0,IF($B331&gt;'信用保険料計算書（上限2000万）'!$I$16,0,1)))</f>
        <v>0</v>
      </c>
      <c r="I331" s="209">
        <f>IF(H331=1,HLOOKUP(C331,'計算書（第3回）'!$C$123:$U$124,2,TRUE),0)</f>
        <v>0</v>
      </c>
      <c r="J331" s="209">
        <f>IF('信用保険料計算書（上限2000万）'!$K$15="",0,IF($B331&lt;'信用保険料計算書（上限2000万）'!$K$15,0,IF($B331&gt;'信用保険料計算書（上限2000万）'!$K$16,0,1)))</f>
        <v>0</v>
      </c>
      <c r="K331" s="209">
        <f>IF(J331=1,HLOOKUP(C331,'計算書（第4回）'!$C$123:$U$124,2,TRUE),0)</f>
        <v>0</v>
      </c>
      <c r="L331" s="209">
        <f>IF('信用保険料計算書（上限2000万）'!$M$15="",0,IF($B331&lt;'信用保険料計算書（上限2000万）'!$M$15,0,IF($B331&gt;'信用保険料計算書（上限2000万）'!$M$16,0,1)))</f>
        <v>0</v>
      </c>
      <c r="M331" s="209">
        <f>IF(L331=1,HLOOKUP(C331,'計算書（第5回）'!$C$123:$U$124,2,TRUE),0)</f>
        <v>0</v>
      </c>
      <c r="N331" s="209">
        <f>IF('信用保険料計算書（上限2000万）'!$O$15="",0,IF($B331&lt;'信用保険料計算書（上限2000万）'!$O$15,0,IF($B331&gt;'信用保険料計算書（上限2000万）'!$O$16,0,1)))</f>
        <v>0</v>
      </c>
      <c r="O331" s="209">
        <f>IF(N331=1,HLOOKUP(C331,'計算書（第6回）'!$C$123:$U$124,2,TRUE),0)</f>
        <v>0</v>
      </c>
      <c r="P331" s="209">
        <f>IF('信用保険料計算書（上限2000万）'!$Q$15="",0,IF($B331&lt;'信用保険料計算書（上限2000万）'!$Q$15,0,IF($B331&gt;'信用保険料計算書（上限2000万）'!$Q$16,0,1)))</f>
        <v>0</v>
      </c>
      <c r="Q331" s="209">
        <f>IF(P331=1,HLOOKUP(C331,'計算書（第7回）'!$C$123:$U$124,2,TRUE),0)</f>
        <v>0</v>
      </c>
      <c r="R331" s="213"/>
      <c r="S331" s="211">
        <f>COUNTIF($AB$13:$AB$19,"&lt;=2031/8/1")</f>
        <v>2</v>
      </c>
      <c r="T331" s="178">
        <f t="shared" si="40"/>
        <v>44743</v>
      </c>
      <c r="U331" s="181">
        <f t="shared" si="38"/>
        <v>0</v>
      </c>
      <c r="V331" s="182">
        <f t="shared" si="42"/>
        <v>0</v>
      </c>
      <c r="W331" s="245">
        <f t="shared" si="41"/>
        <v>0</v>
      </c>
      <c r="X331" s="182"/>
    </row>
    <row r="332" spans="2:24">
      <c r="B332" s="214">
        <f t="shared" si="39"/>
        <v>50649</v>
      </c>
      <c r="C332" s="198">
        <f t="shared" si="37"/>
        <v>50618</v>
      </c>
      <c r="D332" s="209">
        <f>IF(B332&lt;'信用保険料計算書（上限2000万）'!$E$15,0,IF(B332&gt;'信用保険料計算書（上限2000万）'!$E$16,0,1))</f>
        <v>0</v>
      </c>
      <c r="E332" s="209">
        <f>IF(D332=1,HLOOKUP(C332,'計算書（第1回）'!$C$123:$U$124,2,TRUE),0)</f>
        <v>0</v>
      </c>
      <c r="F332" s="209">
        <f>IF('信用保険料計算書（上限2000万）'!$G$15="",0,IF($B332&lt;'信用保険料計算書（上限2000万）'!$G$15,0,IF($B332&gt;'信用保険料計算書（上限2000万）'!$G$16,0,1)))</f>
        <v>0</v>
      </c>
      <c r="G332" s="209">
        <f>IF(F332=1,HLOOKUP(C332,'計算書（第2回）'!$C$123:$U$124,2,TRUE),0)</f>
        <v>0</v>
      </c>
      <c r="H332" s="209">
        <f>IF('信用保険料計算書（上限2000万）'!$I$15="",0,IF($B332&lt;'信用保険料計算書（上限2000万）'!$I$15,0,IF($B332&gt;'信用保険料計算書（上限2000万）'!$I$16,0,1)))</f>
        <v>0</v>
      </c>
      <c r="I332" s="209">
        <f>IF(H332=1,HLOOKUP(C332,'計算書（第3回）'!$C$123:$U$124,2,TRUE),0)</f>
        <v>0</v>
      </c>
      <c r="J332" s="209">
        <f>IF('信用保険料計算書（上限2000万）'!$K$15="",0,IF($B332&lt;'信用保険料計算書（上限2000万）'!$K$15,0,IF($B332&gt;'信用保険料計算書（上限2000万）'!$K$16,0,1)))</f>
        <v>0</v>
      </c>
      <c r="K332" s="209">
        <f>IF(J332=1,HLOOKUP(C332,'計算書（第4回）'!$C$123:$U$124,2,TRUE),0)</f>
        <v>0</v>
      </c>
      <c r="L332" s="209">
        <f>IF('信用保険料計算書（上限2000万）'!$M$15="",0,IF($B332&lt;'信用保険料計算書（上限2000万）'!$M$15,0,IF($B332&gt;'信用保険料計算書（上限2000万）'!$M$16,0,1)))</f>
        <v>0</v>
      </c>
      <c r="M332" s="209">
        <f>IF(L332=1,HLOOKUP(C332,'計算書（第5回）'!$C$123:$U$124,2,TRUE),0)</f>
        <v>0</v>
      </c>
      <c r="N332" s="209">
        <f>IF('信用保険料計算書（上限2000万）'!$O$15="",0,IF($B332&lt;'信用保険料計算書（上限2000万）'!$O$15,0,IF($B332&gt;'信用保険料計算書（上限2000万）'!$O$16,0,1)))</f>
        <v>0</v>
      </c>
      <c r="O332" s="209">
        <f>IF(N332=1,HLOOKUP(C332,'計算書（第6回）'!$C$123:$U$124,2,TRUE),0)</f>
        <v>0</v>
      </c>
      <c r="P332" s="209">
        <f>IF('信用保険料計算書（上限2000万）'!$Q$15="",0,IF($B332&lt;'信用保険料計算書（上限2000万）'!$Q$15,0,IF($B332&gt;'信用保険料計算書（上限2000万）'!$Q$16,0,1)))</f>
        <v>0</v>
      </c>
      <c r="Q332" s="209">
        <f>IF(P332=1,HLOOKUP(C332,'計算書（第7回）'!$C$123:$U$124,2,TRUE),0)</f>
        <v>0</v>
      </c>
      <c r="R332" s="213"/>
      <c r="S332" s="211">
        <f>COUNTIF($AB$13:$AB$19,"&lt;=2031/9/1")</f>
        <v>2</v>
      </c>
      <c r="T332" s="178">
        <f t="shared" si="40"/>
        <v>44743</v>
      </c>
      <c r="U332" s="181">
        <f t="shared" si="38"/>
        <v>0</v>
      </c>
      <c r="V332" s="182">
        <f t="shared" si="42"/>
        <v>0</v>
      </c>
      <c r="W332" s="245">
        <f t="shared" si="41"/>
        <v>0</v>
      </c>
      <c r="X332" s="183">
        <f>INT(SUM(W327:W332))</f>
        <v>0</v>
      </c>
    </row>
    <row r="333" spans="2:24">
      <c r="B333" s="214">
        <f t="shared" si="39"/>
        <v>50679</v>
      </c>
      <c r="C333" s="198">
        <f t="shared" si="37"/>
        <v>50649</v>
      </c>
      <c r="D333" s="209">
        <f>IF(B333&lt;'信用保険料計算書（上限2000万）'!$E$15,0,IF(B333&gt;'信用保険料計算書（上限2000万）'!$E$16,0,1))</f>
        <v>0</v>
      </c>
      <c r="E333" s="209">
        <f>IF(D333=1,HLOOKUP(C333,'計算書（第1回）'!$C$123:$U$124,2,TRUE),0)</f>
        <v>0</v>
      </c>
      <c r="F333" s="209">
        <f>IF('信用保険料計算書（上限2000万）'!$G$15="",0,IF($B333&lt;'信用保険料計算書（上限2000万）'!$G$15,0,IF($B333&gt;'信用保険料計算書（上限2000万）'!$G$16,0,1)))</f>
        <v>0</v>
      </c>
      <c r="G333" s="209">
        <f>IF(F333=1,HLOOKUP(C333,'計算書（第2回）'!$C$123:$U$124,2,TRUE),0)</f>
        <v>0</v>
      </c>
      <c r="H333" s="209">
        <f>IF('信用保険料計算書（上限2000万）'!$I$15="",0,IF($B333&lt;'信用保険料計算書（上限2000万）'!$I$15,0,IF($B333&gt;'信用保険料計算書（上限2000万）'!$I$16,0,1)))</f>
        <v>0</v>
      </c>
      <c r="I333" s="209">
        <f>IF(H333=1,HLOOKUP(C333,'計算書（第3回）'!$C$123:$U$124,2,TRUE),0)</f>
        <v>0</v>
      </c>
      <c r="J333" s="209">
        <f>IF('信用保険料計算書（上限2000万）'!$K$15="",0,IF($B333&lt;'信用保険料計算書（上限2000万）'!$K$15,0,IF($B333&gt;'信用保険料計算書（上限2000万）'!$K$16,0,1)))</f>
        <v>0</v>
      </c>
      <c r="K333" s="209">
        <f>IF(J333=1,HLOOKUP(C333,'計算書（第4回）'!$C$123:$U$124,2,TRUE),0)</f>
        <v>0</v>
      </c>
      <c r="L333" s="209">
        <f>IF('信用保険料計算書（上限2000万）'!$M$15="",0,IF($B333&lt;'信用保険料計算書（上限2000万）'!$M$15,0,IF($B333&gt;'信用保険料計算書（上限2000万）'!$M$16,0,1)))</f>
        <v>0</v>
      </c>
      <c r="M333" s="209">
        <f>IF(L333=1,HLOOKUP(C333,'計算書（第5回）'!$C$123:$U$124,2,TRUE),0)</f>
        <v>0</v>
      </c>
      <c r="N333" s="209">
        <f>IF('信用保険料計算書（上限2000万）'!$O$15="",0,IF($B333&lt;'信用保険料計算書（上限2000万）'!$O$15,0,IF($B333&gt;'信用保険料計算書（上限2000万）'!$O$16,0,1)))</f>
        <v>0</v>
      </c>
      <c r="O333" s="209">
        <f>IF(N333=1,HLOOKUP(C333,'計算書（第6回）'!$C$123:$U$124,2,TRUE),0)</f>
        <v>0</v>
      </c>
      <c r="P333" s="209">
        <f>IF('信用保険料計算書（上限2000万）'!$Q$15="",0,IF($B333&lt;'信用保険料計算書（上限2000万）'!$Q$15,0,IF($B333&gt;'信用保険料計算書（上限2000万）'!$Q$16,0,1)))</f>
        <v>0</v>
      </c>
      <c r="Q333" s="209">
        <f>IF(P333=1,HLOOKUP(C333,'計算書（第7回）'!$C$123:$U$124,2,TRUE),0)</f>
        <v>0</v>
      </c>
      <c r="R333" s="213"/>
      <c r="S333" s="211">
        <f>COUNTIF($AB$13:$AB$19,"&lt;=2031/10/1")</f>
        <v>2</v>
      </c>
      <c r="T333" s="178">
        <f t="shared" si="40"/>
        <v>44743</v>
      </c>
      <c r="U333" s="181">
        <f t="shared" si="38"/>
        <v>0</v>
      </c>
      <c r="V333" s="182">
        <f t="shared" si="42"/>
        <v>0</v>
      </c>
      <c r="W333" s="245">
        <f t="shared" si="41"/>
        <v>0</v>
      </c>
      <c r="X333" s="182"/>
    </row>
    <row r="334" spans="2:24">
      <c r="B334" s="214">
        <f t="shared" si="39"/>
        <v>50710</v>
      </c>
      <c r="C334" s="198">
        <f t="shared" si="37"/>
        <v>50679</v>
      </c>
      <c r="D334" s="209">
        <f>IF(B334&lt;'信用保険料計算書（上限2000万）'!$E$15,0,IF(B334&gt;'信用保険料計算書（上限2000万）'!$E$16,0,1))</f>
        <v>0</v>
      </c>
      <c r="E334" s="209">
        <f>IF(D334=1,HLOOKUP(C334,'計算書（第1回）'!$C$123:$U$124,2,TRUE),0)</f>
        <v>0</v>
      </c>
      <c r="F334" s="209">
        <f>IF('信用保険料計算書（上限2000万）'!$G$15="",0,IF($B334&lt;'信用保険料計算書（上限2000万）'!$G$15,0,IF($B334&gt;'信用保険料計算書（上限2000万）'!$G$16,0,1)))</f>
        <v>0</v>
      </c>
      <c r="G334" s="209">
        <f>IF(F334=1,HLOOKUP(C334,'計算書（第2回）'!$C$123:$U$124,2,TRUE),0)</f>
        <v>0</v>
      </c>
      <c r="H334" s="209">
        <f>IF('信用保険料計算書（上限2000万）'!$I$15="",0,IF($B334&lt;'信用保険料計算書（上限2000万）'!$I$15,0,IF($B334&gt;'信用保険料計算書（上限2000万）'!$I$16,0,1)))</f>
        <v>0</v>
      </c>
      <c r="I334" s="209">
        <f>IF(H334=1,HLOOKUP(C334,'計算書（第3回）'!$C$123:$U$124,2,TRUE),0)</f>
        <v>0</v>
      </c>
      <c r="J334" s="209">
        <f>IF('信用保険料計算書（上限2000万）'!$K$15="",0,IF($B334&lt;'信用保険料計算書（上限2000万）'!$K$15,0,IF($B334&gt;'信用保険料計算書（上限2000万）'!$K$16,0,1)))</f>
        <v>0</v>
      </c>
      <c r="K334" s="209">
        <f>IF(J334=1,HLOOKUP(C334,'計算書（第4回）'!$C$123:$U$124,2,TRUE),0)</f>
        <v>0</v>
      </c>
      <c r="L334" s="209">
        <f>IF('信用保険料計算書（上限2000万）'!$M$15="",0,IF($B334&lt;'信用保険料計算書（上限2000万）'!$M$15,0,IF($B334&gt;'信用保険料計算書（上限2000万）'!$M$16,0,1)))</f>
        <v>0</v>
      </c>
      <c r="M334" s="209">
        <f>IF(L334=1,HLOOKUP(C334,'計算書（第5回）'!$C$123:$U$124,2,TRUE),0)</f>
        <v>0</v>
      </c>
      <c r="N334" s="209">
        <f>IF('信用保険料計算書（上限2000万）'!$O$15="",0,IF($B334&lt;'信用保険料計算書（上限2000万）'!$O$15,0,IF($B334&gt;'信用保険料計算書（上限2000万）'!$O$16,0,1)))</f>
        <v>0</v>
      </c>
      <c r="O334" s="209">
        <f>IF(N334=1,HLOOKUP(C334,'計算書（第6回）'!$C$123:$U$124,2,TRUE),0)</f>
        <v>0</v>
      </c>
      <c r="P334" s="209">
        <f>IF('信用保険料計算書（上限2000万）'!$Q$15="",0,IF($B334&lt;'信用保険料計算書（上限2000万）'!$Q$15,0,IF($B334&gt;'信用保険料計算書（上限2000万）'!$Q$16,0,1)))</f>
        <v>0</v>
      </c>
      <c r="Q334" s="209">
        <f>IF(P334=1,HLOOKUP(C334,'計算書（第7回）'!$C$123:$U$124,2,TRUE),0)</f>
        <v>0</v>
      </c>
      <c r="R334" s="213"/>
      <c r="S334" s="211">
        <f>COUNTIF($AB$13:$AB$19,"&lt;=2031/11/1")</f>
        <v>2</v>
      </c>
      <c r="T334" s="178">
        <f t="shared" si="40"/>
        <v>44743</v>
      </c>
      <c r="U334" s="181">
        <f t="shared" si="38"/>
        <v>0</v>
      </c>
      <c r="V334" s="182">
        <f t="shared" si="42"/>
        <v>0</v>
      </c>
      <c r="W334" s="245">
        <f t="shared" si="41"/>
        <v>0</v>
      </c>
      <c r="X334" s="182"/>
    </row>
    <row r="335" spans="2:24">
      <c r="B335" s="214">
        <f t="shared" si="39"/>
        <v>50740</v>
      </c>
      <c r="C335" s="198">
        <f t="shared" si="37"/>
        <v>50710</v>
      </c>
      <c r="D335" s="209">
        <f>IF(B335&lt;'信用保険料計算書（上限2000万）'!$E$15,0,IF(B335&gt;'信用保険料計算書（上限2000万）'!$E$16,0,1))</f>
        <v>0</v>
      </c>
      <c r="E335" s="209">
        <f>IF(D335=1,HLOOKUP(C335,'計算書（第1回）'!$C$123:$U$124,2,TRUE),0)</f>
        <v>0</v>
      </c>
      <c r="F335" s="209">
        <f>IF('信用保険料計算書（上限2000万）'!$G$15="",0,IF($B335&lt;'信用保険料計算書（上限2000万）'!$G$15,0,IF($B335&gt;'信用保険料計算書（上限2000万）'!$G$16,0,1)))</f>
        <v>0</v>
      </c>
      <c r="G335" s="209">
        <f>IF(F335=1,HLOOKUP(C335,'計算書（第2回）'!$C$123:$U$124,2,TRUE),0)</f>
        <v>0</v>
      </c>
      <c r="H335" s="209">
        <f>IF('信用保険料計算書（上限2000万）'!$I$15="",0,IF($B335&lt;'信用保険料計算書（上限2000万）'!$I$15,0,IF($B335&gt;'信用保険料計算書（上限2000万）'!$I$16,0,1)))</f>
        <v>0</v>
      </c>
      <c r="I335" s="209">
        <f>IF(H335=1,HLOOKUP(C335,'計算書（第3回）'!$C$123:$U$124,2,TRUE),0)</f>
        <v>0</v>
      </c>
      <c r="J335" s="209">
        <f>IF('信用保険料計算書（上限2000万）'!$K$15="",0,IF($B335&lt;'信用保険料計算書（上限2000万）'!$K$15,0,IF($B335&gt;'信用保険料計算書（上限2000万）'!$K$16,0,1)))</f>
        <v>0</v>
      </c>
      <c r="K335" s="209">
        <f>IF(J335=1,HLOOKUP(C335,'計算書（第4回）'!$C$123:$U$124,2,TRUE),0)</f>
        <v>0</v>
      </c>
      <c r="L335" s="209">
        <f>IF('信用保険料計算書（上限2000万）'!$M$15="",0,IF($B335&lt;'信用保険料計算書（上限2000万）'!$M$15,0,IF($B335&gt;'信用保険料計算書（上限2000万）'!$M$16,0,1)))</f>
        <v>0</v>
      </c>
      <c r="M335" s="209">
        <f>IF(L335=1,HLOOKUP(C335,'計算書（第5回）'!$C$123:$U$124,2,TRUE),0)</f>
        <v>0</v>
      </c>
      <c r="N335" s="209">
        <f>IF('信用保険料計算書（上限2000万）'!$O$15="",0,IF($B335&lt;'信用保険料計算書（上限2000万）'!$O$15,0,IF($B335&gt;'信用保険料計算書（上限2000万）'!$O$16,0,1)))</f>
        <v>0</v>
      </c>
      <c r="O335" s="209">
        <f>IF(N335=1,HLOOKUP(C335,'計算書（第6回）'!$C$123:$U$124,2,TRUE),0)</f>
        <v>0</v>
      </c>
      <c r="P335" s="209">
        <f>IF('信用保険料計算書（上限2000万）'!$Q$15="",0,IF($B335&lt;'信用保険料計算書（上限2000万）'!$Q$15,0,IF($B335&gt;'信用保険料計算書（上限2000万）'!$Q$16,0,1)))</f>
        <v>0</v>
      </c>
      <c r="Q335" s="209">
        <f>IF(P335=1,HLOOKUP(C335,'計算書（第7回）'!$C$123:$U$124,2,TRUE),0)</f>
        <v>0</v>
      </c>
      <c r="R335" s="213"/>
      <c r="S335" s="211">
        <f>COUNTIF($AB$13:$AB$19,"&lt;=2031/12/1")</f>
        <v>2</v>
      </c>
      <c r="T335" s="178">
        <f t="shared" si="40"/>
        <v>44743</v>
      </c>
      <c r="U335" s="181">
        <f t="shared" si="38"/>
        <v>0</v>
      </c>
      <c r="V335" s="182">
        <f t="shared" si="42"/>
        <v>0</v>
      </c>
      <c r="W335" s="245">
        <f t="shared" si="41"/>
        <v>0</v>
      </c>
      <c r="X335" s="182"/>
    </row>
    <row r="336" spans="2:24">
      <c r="B336" s="214">
        <f t="shared" si="39"/>
        <v>50771</v>
      </c>
      <c r="C336" s="198">
        <f t="shared" si="37"/>
        <v>50740</v>
      </c>
      <c r="D336" s="209">
        <f>IF(B336&lt;'信用保険料計算書（上限2000万）'!$E$15,0,IF(B336&gt;'信用保険料計算書（上限2000万）'!$E$16,0,1))</f>
        <v>0</v>
      </c>
      <c r="E336" s="209">
        <f>IF(D336=1,HLOOKUP(C336,'計算書（第1回）'!$C$123:$U$124,2,TRUE),0)</f>
        <v>0</v>
      </c>
      <c r="F336" s="209">
        <f>IF('信用保険料計算書（上限2000万）'!$G$15="",0,IF($B336&lt;'信用保険料計算書（上限2000万）'!$G$15,0,IF($B336&gt;'信用保険料計算書（上限2000万）'!$G$16,0,1)))</f>
        <v>0</v>
      </c>
      <c r="G336" s="209">
        <f>IF(F336=1,HLOOKUP(C336,'計算書（第2回）'!$C$123:$U$124,2,TRUE),0)</f>
        <v>0</v>
      </c>
      <c r="H336" s="209">
        <f>IF('信用保険料計算書（上限2000万）'!$I$15="",0,IF($B336&lt;'信用保険料計算書（上限2000万）'!$I$15,0,IF($B336&gt;'信用保険料計算書（上限2000万）'!$I$16,0,1)))</f>
        <v>0</v>
      </c>
      <c r="I336" s="209">
        <f>IF(H336=1,HLOOKUP(C336,'計算書（第3回）'!$C$123:$U$124,2,TRUE),0)</f>
        <v>0</v>
      </c>
      <c r="J336" s="209">
        <f>IF('信用保険料計算書（上限2000万）'!$K$15="",0,IF($B336&lt;'信用保険料計算書（上限2000万）'!$K$15,0,IF($B336&gt;'信用保険料計算書（上限2000万）'!$K$16,0,1)))</f>
        <v>0</v>
      </c>
      <c r="K336" s="209">
        <f>IF(J336=1,HLOOKUP(C336,'計算書（第4回）'!$C$123:$U$124,2,TRUE),0)</f>
        <v>0</v>
      </c>
      <c r="L336" s="209">
        <f>IF('信用保険料計算書（上限2000万）'!$M$15="",0,IF($B336&lt;'信用保険料計算書（上限2000万）'!$M$15,0,IF($B336&gt;'信用保険料計算書（上限2000万）'!$M$16,0,1)))</f>
        <v>0</v>
      </c>
      <c r="M336" s="209">
        <f>IF(L336=1,HLOOKUP(C336,'計算書（第5回）'!$C$123:$U$124,2,TRUE),0)</f>
        <v>0</v>
      </c>
      <c r="N336" s="209">
        <f>IF('信用保険料計算書（上限2000万）'!$O$15="",0,IF($B336&lt;'信用保険料計算書（上限2000万）'!$O$15,0,IF($B336&gt;'信用保険料計算書（上限2000万）'!$O$16,0,1)))</f>
        <v>0</v>
      </c>
      <c r="O336" s="209">
        <f>IF(N336=1,HLOOKUP(C336,'計算書（第6回）'!$C$123:$U$124,2,TRUE),0)</f>
        <v>0</v>
      </c>
      <c r="P336" s="209">
        <f>IF('信用保険料計算書（上限2000万）'!$Q$15="",0,IF($B336&lt;'信用保険料計算書（上限2000万）'!$Q$15,0,IF($B336&gt;'信用保険料計算書（上限2000万）'!$Q$16,0,1)))</f>
        <v>0</v>
      </c>
      <c r="Q336" s="209">
        <f>IF(P336=1,HLOOKUP(C336,'計算書（第7回）'!$C$123:$U$124,2,TRUE),0)</f>
        <v>0</v>
      </c>
      <c r="R336" s="212"/>
      <c r="S336" s="211">
        <f>COUNTIF($AB$13:$AB$19,"&lt;=2032/1/1")</f>
        <v>2</v>
      </c>
      <c r="T336" s="178">
        <f t="shared" si="40"/>
        <v>44743</v>
      </c>
      <c r="U336" s="181">
        <f t="shared" si="38"/>
        <v>0</v>
      </c>
      <c r="V336" s="182">
        <f t="shared" si="42"/>
        <v>0</v>
      </c>
      <c r="W336" s="245">
        <f t="shared" si="41"/>
        <v>0</v>
      </c>
      <c r="X336" s="182"/>
    </row>
    <row r="337" spans="2:24">
      <c r="B337" s="214">
        <f t="shared" si="39"/>
        <v>50802</v>
      </c>
      <c r="C337" s="198">
        <f t="shared" si="37"/>
        <v>50771</v>
      </c>
      <c r="D337" s="209">
        <f>IF(B337&lt;'信用保険料計算書（上限2000万）'!$E$15,0,IF(B337&gt;'信用保険料計算書（上限2000万）'!$E$16,0,1))</f>
        <v>0</v>
      </c>
      <c r="E337" s="209">
        <f>IF(D337=1,HLOOKUP(C337,'計算書（第1回）'!$C$123:$U$124,2,TRUE),0)</f>
        <v>0</v>
      </c>
      <c r="F337" s="209">
        <f>IF('信用保険料計算書（上限2000万）'!$G$15="",0,IF($B337&lt;'信用保険料計算書（上限2000万）'!$G$15,0,IF($B337&gt;'信用保険料計算書（上限2000万）'!$G$16,0,1)))</f>
        <v>0</v>
      </c>
      <c r="G337" s="209">
        <f>IF(F337=1,HLOOKUP(C337,'計算書（第2回）'!$C$123:$U$124,2,TRUE),0)</f>
        <v>0</v>
      </c>
      <c r="H337" s="209">
        <f>IF('信用保険料計算書（上限2000万）'!$I$15="",0,IF($B337&lt;'信用保険料計算書（上限2000万）'!$I$15,0,IF($B337&gt;'信用保険料計算書（上限2000万）'!$I$16,0,1)))</f>
        <v>0</v>
      </c>
      <c r="I337" s="209">
        <f>IF(H337=1,HLOOKUP(C337,'計算書（第3回）'!$C$123:$U$124,2,TRUE),0)</f>
        <v>0</v>
      </c>
      <c r="J337" s="209">
        <f>IF('信用保険料計算書（上限2000万）'!$K$15="",0,IF($B337&lt;'信用保険料計算書（上限2000万）'!$K$15,0,IF($B337&gt;'信用保険料計算書（上限2000万）'!$K$16,0,1)))</f>
        <v>0</v>
      </c>
      <c r="K337" s="209">
        <f>IF(J337=1,HLOOKUP(C337,'計算書（第4回）'!$C$123:$U$124,2,TRUE),0)</f>
        <v>0</v>
      </c>
      <c r="L337" s="209">
        <f>IF('信用保険料計算書（上限2000万）'!$M$15="",0,IF($B337&lt;'信用保険料計算書（上限2000万）'!$M$15,0,IF($B337&gt;'信用保険料計算書（上限2000万）'!$M$16,0,1)))</f>
        <v>0</v>
      </c>
      <c r="M337" s="209">
        <f>IF(L337=1,HLOOKUP(C337,'計算書（第5回）'!$C$123:$U$124,2,TRUE),0)</f>
        <v>0</v>
      </c>
      <c r="N337" s="209">
        <f>IF('信用保険料計算書（上限2000万）'!$O$15="",0,IF($B337&lt;'信用保険料計算書（上限2000万）'!$O$15,0,IF($B337&gt;'信用保険料計算書（上限2000万）'!$O$16,0,1)))</f>
        <v>0</v>
      </c>
      <c r="O337" s="209">
        <f>IF(N337=1,HLOOKUP(C337,'計算書（第6回）'!$C$123:$U$124,2,TRUE),0)</f>
        <v>0</v>
      </c>
      <c r="P337" s="209">
        <f>IF('信用保険料計算書（上限2000万）'!$Q$15="",0,IF($B337&lt;'信用保険料計算書（上限2000万）'!$Q$15,0,IF($B337&gt;'信用保険料計算書（上限2000万）'!$Q$16,0,1)))</f>
        <v>0</v>
      </c>
      <c r="Q337" s="209">
        <f>IF(P337=1,HLOOKUP(C337,'計算書（第7回）'!$C$123:$U$124,2,TRUE),0)</f>
        <v>0</v>
      </c>
      <c r="R337" s="212"/>
      <c r="S337" s="211">
        <f>COUNTIF($AB$13:$AB$19,"&lt;=2032/2/1")</f>
        <v>2</v>
      </c>
      <c r="T337" s="178">
        <f t="shared" si="40"/>
        <v>44743</v>
      </c>
      <c r="U337" s="181">
        <f t="shared" si="38"/>
        <v>0</v>
      </c>
      <c r="V337" s="182">
        <f t="shared" si="42"/>
        <v>0</v>
      </c>
      <c r="W337" s="245">
        <f t="shared" si="41"/>
        <v>0</v>
      </c>
      <c r="X337" s="182"/>
    </row>
    <row r="338" spans="2:24">
      <c r="B338" s="214">
        <f t="shared" si="39"/>
        <v>50830</v>
      </c>
      <c r="C338" s="198">
        <f t="shared" si="37"/>
        <v>50802</v>
      </c>
      <c r="D338" s="209">
        <f>IF(B338&lt;'信用保険料計算書（上限2000万）'!$E$15,0,IF(B338&gt;'信用保険料計算書（上限2000万）'!$E$16,0,1))</f>
        <v>0</v>
      </c>
      <c r="E338" s="209">
        <f>IF(D338=1,HLOOKUP(C338,'計算書（第1回）'!$C$123:$U$124,2,TRUE),0)</f>
        <v>0</v>
      </c>
      <c r="F338" s="209">
        <f>IF('信用保険料計算書（上限2000万）'!$G$15="",0,IF($B338&lt;'信用保険料計算書（上限2000万）'!$G$15,0,IF($B338&gt;'信用保険料計算書（上限2000万）'!$G$16,0,1)))</f>
        <v>0</v>
      </c>
      <c r="G338" s="209">
        <f>IF(F338=1,HLOOKUP(C338,'計算書（第2回）'!$C$123:$U$124,2,TRUE),0)</f>
        <v>0</v>
      </c>
      <c r="H338" s="209">
        <f>IF('信用保険料計算書（上限2000万）'!$I$15="",0,IF($B338&lt;'信用保険料計算書（上限2000万）'!$I$15,0,IF($B338&gt;'信用保険料計算書（上限2000万）'!$I$16,0,1)))</f>
        <v>0</v>
      </c>
      <c r="I338" s="209">
        <f>IF(H338=1,HLOOKUP(C338,'計算書（第3回）'!$C$123:$U$124,2,TRUE),0)</f>
        <v>0</v>
      </c>
      <c r="J338" s="209">
        <f>IF('信用保険料計算書（上限2000万）'!$K$15="",0,IF($B338&lt;'信用保険料計算書（上限2000万）'!$K$15,0,IF($B338&gt;'信用保険料計算書（上限2000万）'!$K$16,0,1)))</f>
        <v>0</v>
      </c>
      <c r="K338" s="209">
        <f>IF(J338=1,HLOOKUP(C338,'計算書（第4回）'!$C$123:$U$124,2,TRUE),0)</f>
        <v>0</v>
      </c>
      <c r="L338" s="209">
        <f>IF('信用保険料計算書（上限2000万）'!$M$15="",0,IF($B338&lt;'信用保険料計算書（上限2000万）'!$M$15,0,IF($B338&gt;'信用保険料計算書（上限2000万）'!$M$16,0,1)))</f>
        <v>0</v>
      </c>
      <c r="M338" s="209">
        <f>IF(L338=1,HLOOKUP(C338,'計算書（第5回）'!$C$123:$U$124,2,TRUE),0)</f>
        <v>0</v>
      </c>
      <c r="N338" s="209">
        <f>IF('信用保険料計算書（上限2000万）'!$O$15="",0,IF($B338&lt;'信用保険料計算書（上限2000万）'!$O$15,0,IF($B338&gt;'信用保険料計算書（上限2000万）'!$O$16,0,1)))</f>
        <v>0</v>
      </c>
      <c r="O338" s="209">
        <f>IF(N338=1,HLOOKUP(C338,'計算書（第6回）'!$C$123:$U$124,2,TRUE),0)</f>
        <v>0</v>
      </c>
      <c r="P338" s="209">
        <f>IF('信用保険料計算書（上限2000万）'!$Q$15="",0,IF($B338&lt;'信用保険料計算書（上限2000万）'!$Q$15,0,IF($B338&gt;'信用保険料計算書（上限2000万）'!$Q$16,0,1)))</f>
        <v>0</v>
      </c>
      <c r="Q338" s="209">
        <f>IF(P338=1,HLOOKUP(C338,'計算書（第7回）'!$C$123:$U$124,2,TRUE),0)</f>
        <v>0</v>
      </c>
      <c r="R338" s="212"/>
      <c r="S338" s="211">
        <f>COUNTIF($AB$13:$AB$19,"&lt;=2032/3/1")</f>
        <v>2</v>
      </c>
      <c r="T338" s="178">
        <f t="shared" si="40"/>
        <v>44743</v>
      </c>
      <c r="U338" s="181">
        <f t="shared" si="38"/>
        <v>0</v>
      </c>
      <c r="V338" s="182">
        <f t="shared" si="42"/>
        <v>0</v>
      </c>
      <c r="W338" s="245">
        <f t="shared" si="41"/>
        <v>0</v>
      </c>
      <c r="X338" s="183">
        <f>INT(SUM(W333:W338))</f>
        <v>0</v>
      </c>
    </row>
    <row r="339" spans="2:24">
      <c r="B339" s="214">
        <f t="shared" si="39"/>
        <v>50861</v>
      </c>
      <c r="C339" s="198">
        <f t="shared" si="37"/>
        <v>50830</v>
      </c>
      <c r="D339" s="209">
        <f>IF(B339&lt;'信用保険料計算書（上限2000万）'!$E$15,0,IF(B339&gt;'信用保険料計算書（上限2000万）'!$E$16,0,1))</f>
        <v>0</v>
      </c>
      <c r="E339" s="209">
        <f>IF(D339=1,HLOOKUP(C339,'計算書（第1回）'!$C$123:$U$124,2,TRUE),0)</f>
        <v>0</v>
      </c>
      <c r="F339" s="209">
        <f>IF('信用保険料計算書（上限2000万）'!$G$15="",0,IF($B339&lt;'信用保険料計算書（上限2000万）'!$G$15,0,IF($B339&gt;'信用保険料計算書（上限2000万）'!$G$16,0,1)))</f>
        <v>0</v>
      </c>
      <c r="G339" s="209">
        <f>IF(F339=1,HLOOKUP(C339,'計算書（第2回）'!$C$123:$U$124,2,TRUE),0)</f>
        <v>0</v>
      </c>
      <c r="H339" s="209">
        <f>IF('信用保険料計算書（上限2000万）'!$I$15="",0,IF($B339&lt;'信用保険料計算書（上限2000万）'!$I$15,0,IF($B339&gt;'信用保険料計算書（上限2000万）'!$I$16,0,1)))</f>
        <v>0</v>
      </c>
      <c r="I339" s="209">
        <f>IF(H339=1,HLOOKUP(C339,'計算書（第3回）'!$C$123:$U$124,2,TRUE),0)</f>
        <v>0</v>
      </c>
      <c r="J339" s="209">
        <f>IF('信用保険料計算書（上限2000万）'!$K$15="",0,IF($B339&lt;'信用保険料計算書（上限2000万）'!$K$15,0,IF($B339&gt;'信用保険料計算書（上限2000万）'!$K$16,0,1)))</f>
        <v>0</v>
      </c>
      <c r="K339" s="209">
        <f>IF(J339=1,HLOOKUP(C339,'計算書（第4回）'!$C$123:$U$124,2,TRUE),0)</f>
        <v>0</v>
      </c>
      <c r="L339" s="209">
        <f>IF('信用保険料計算書（上限2000万）'!$M$15="",0,IF($B339&lt;'信用保険料計算書（上限2000万）'!$M$15,0,IF($B339&gt;'信用保険料計算書（上限2000万）'!$M$16,0,1)))</f>
        <v>0</v>
      </c>
      <c r="M339" s="209">
        <f>IF(L339=1,HLOOKUP(C339,'計算書（第5回）'!$C$123:$U$124,2,TRUE),0)</f>
        <v>0</v>
      </c>
      <c r="N339" s="209">
        <f>IF('信用保険料計算書（上限2000万）'!$O$15="",0,IF($B339&lt;'信用保険料計算書（上限2000万）'!$O$15,0,IF($B339&gt;'信用保険料計算書（上限2000万）'!$O$16,0,1)))</f>
        <v>0</v>
      </c>
      <c r="O339" s="209">
        <f>IF(N339=1,HLOOKUP(C339,'計算書（第6回）'!$C$123:$U$124,2,TRUE),0)</f>
        <v>0</v>
      </c>
      <c r="P339" s="209">
        <f>IF('信用保険料計算書（上限2000万）'!$Q$15="",0,IF($B339&lt;'信用保険料計算書（上限2000万）'!$Q$15,0,IF($B339&gt;'信用保険料計算書（上限2000万）'!$Q$16,0,1)))</f>
        <v>0</v>
      </c>
      <c r="Q339" s="209">
        <f>IF(P339=1,HLOOKUP(C339,'計算書（第7回）'!$C$123:$U$124,2,TRUE),0)</f>
        <v>0</v>
      </c>
      <c r="R339" s="213"/>
      <c r="S339" s="211">
        <f>COUNTIF($AB$13:$AB$19,"&lt;=2031/4/1")</f>
        <v>2</v>
      </c>
      <c r="T339" s="178">
        <f t="shared" si="40"/>
        <v>44743</v>
      </c>
      <c r="U339" s="181">
        <f t="shared" si="38"/>
        <v>0</v>
      </c>
      <c r="V339" s="182">
        <f t="shared" ref="V339:V350" si="43">IF(U339=0,0,IF(U339&gt;VLOOKUP(T339,$AA$5:$AB$8,2,TRUE),VLOOKUP(T339,$AA$5:$AB$8,2,TRUE),U339))</f>
        <v>0</v>
      </c>
      <c r="W339" s="245">
        <f t="shared" si="41"/>
        <v>0</v>
      </c>
      <c r="X339" s="182"/>
    </row>
    <row r="340" spans="2:24">
      <c r="B340" s="214">
        <f t="shared" si="39"/>
        <v>50891</v>
      </c>
      <c r="C340" s="198">
        <f t="shared" si="37"/>
        <v>50861</v>
      </c>
      <c r="D340" s="209">
        <f>IF(B340&lt;'信用保険料計算書（上限2000万）'!$E$15,0,IF(B340&gt;'信用保険料計算書（上限2000万）'!$E$16,0,1))</f>
        <v>0</v>
      </c>
      <c r="E340" s="209">
        <f>IF(D340=1,HLOOKUP(C340,'計算書（第1回）'!$C$123:$U$124,2,TRUE),0)</f>
        <v>0</v>
      </c>
      <c r="F340" s="209">
        <f>IF('信用保険料計算書（上限2000万）'!$G$15="",0,IF($B340&lt;'信用保険料計算書（上限2000万）'!$G$15,0,IF($B340&gt;'信用保険料計算書（上限2000万）'!$G$16,0,1)))</f>
        <v>0</v>
      </c>
      <c r="G340" s="209">
        <f>IF(F340=1,HLOOKUP(C340,'計算書（第2回）'!$C$123:$U$124,2,TRUE),0)</f>
        <v>0</v>
      </c>
      <c r="H340" s="209">
        <f>IF('信用保険料計算書（上限2000万）'!$I$15="",0,IF($B340&lt;'信用保険料計算書（上限2000万）'!$I$15,0,IF($B340&gt;'信用保険料計算書（上限2000万）'!$I$16,0,1)))</f>
        <v>0</v>
      </c>
      <c r="I340" s="209">
        <f>IF(H340=1,HLOOKUP(C340,'計算書（第3回）'!$C$123:$U$124,2,TRUE),0)</f>
        <v>0</v>
      </c>
      <c r="J340" s="209">
        <f>IF('信用保険料計算書（上限2000万）'!$K$15="",0,IF($B340&lt;'信用保険料計算書（上限2000万）'!$K$15,0,IF($B340&gt;'信用保険料計算書（上限2000万）'!$K$16,0,1)))</f>
        <v>0</v>
      </c>
      <c r="K340" s="209">
        <f>IF(J340=1,HLOOKUP(C340,'計算書（第4回）'!$C$123:$U$124,2,TRUE),0)</f>
        <v>0</v>
      </c>
      <c r="L340" s="209">
        <f>IF('信用保険料計算書（上限2000万）'!$M$15="",0,IF($B340&lt;'信用保険料計算書（上限2000万）'!$M$15,0,IF($B340&gt;'信用保険料計算書（上限2000万）'!$M$16,0,1)))</f>
        <v>0</v>
      </c>
      <c r="M340" s="209">
        <f>IF(L340=1,HLOOKUP(C340,'計算書（第5回）'!$C$123:$U$124,2,TRUE),0)</f>
        <v>0</v>
      </c>
      <c r="N340" s="209">
        <f>IF('信用保険料計算書（上限2000万）'!$O$15="",0,IF($B340&lt;'信用保険料計算書（上限2000万）'!$O$15,0,IF($B340&gt;'信用保険料計算書（上限2000万）'!$O$16,0,1)))</f>
        <v>0</v>
      </c>
      <c r="O340" s="209">
        <f>IF(N340=1,HLOOKUP(C340,'計算書（第6回）'!$C$123:$U$124,2,TRUE),0)</f>
        <v>0</v>
      </c>
      <c r="P340" s="209">
        <f>IF('信用保険料計算書（上限2000万）'!$Q$15="",0,IF($B340&lt;'信用保険料計算書（上限2000万）'!$Q$15,0,IF($B340&gt;'信用保険料計算書（上限2000万）'!$Q$16,0,1)))</f>
        <v>0</v>
      </c>
      <c r="Q340" s="209">
        <f>IF(P340=1,HLOOKUP(C340,'計算書（第7回）'!$C$123:$U$124,2,TRUE),0)</f>
        <v>0</v>
      </c>
      <c r="R340" s="213"/>
      <c r="S340" s="211">
        <f>COUNTIF($AB$13:$AB$19,"&lt;=2031/5/1")</f>
        <v>2</v>
      </c>
      <c r="T340" s="178">
        <f t="shared" si="40"/>
        <v>44743</v>
      </c>
      <c r="U340" s="181">
        <f t="shared" si="38"/>
        <v>0</v>
      </c>
      <c r="V340" s="182">
        <f t="shared" si="43"/>
        <v>0</v>
      </c>
      <c r="W340" s="245">
        <f t="shared" si="41"/>
        <v>0</v>
      </c>
      <c r="X340" s="182"/>
    </row>
    <row r="341" spans="2:24">
      <c r="B341" s="214">
        <f t="shared" si="39"/>
        <v>50922</v>
      </c>
      <c r="C341" s="198">
        <f t="shared" si="37"/>
        <v>50891</v>
      </c>
      <c r="D341" s="209">
        <f>IF(B341&lt;'信用保険料計算書（上限2000万）'!$E$15,0,IF(B341&gt;'信用保険料計算書（上限2000万）'!$E$16,0,1))</f>
        <v>0</v>
      </c>
      <c r="E341" s="209">
        <f>IF(D341=1,HLOOKUP(C341,'計算書（第1回）'!$C$123:$U$124,2,TRUE),0)</f>
        <v>0</v>
      </c>
      <c r="F341" s="209">
        <f>IF('信用保険料計算書（上限2000万）'!$G$15="",0,IF($B341&lt;'信用保険料計算書（上限2000万）'!$G$15,0,IF($B341&gt;'信用保険料計算書（上限2000万）'!$G$16,0,1)))</f>
        <v>0</v>
      </c>
      <c r="G341" s="209">
        <f>IF(F341=1,HLOOKUP(C341,'計算書（第2回）'!$C$123:$U$124,2,TRUE),0)</f>
        <v>0</v>
      </c>
      <c r="H341" s="209">
        <f>IF('信用保険料計算書（上限2000万）'!$I$15="",0,IF($B341&lt;'信用保険料計算書（上限2000万）'!$I$15,0,IF($B341&gt;'信用保険料計算書（上限2000万）'!$I$16,0,1)))</f>
        <v>0</v>
      </c>
      <c r="I341" s="209">
        <f>IF(H341=1,HLOOKUP(C341,'計算書（第3回）'!$C$123:$U$124,2,TRUE),0)</f>
        <v>0</v>
      </c>
      <c r="J341" s="209">
        <f>IF('信用保険料計算書（上限2000万）'!$K$15="",0,IF($B341&lt;'信用保険料計算書（上限2000万）'!$K$15,0,IF($B341&gt;'信用保険料計算書（上限2000万）'!$K$16,0,1)))</f>
        <v>0</v>
      </c>
      <c r="K341" s="209">
        <f>IF(J341=1,HLOOKUP(C341,'計算書（第4回）'!$C$123:$U$124,2,TRUE),0)</f>
        <v>0</v>
      </c>
      <c r="L341" s="209">
        <f>IF('信用保険料計算書（上限2000万）'!$M$15="",0,IF($B341&lt;'信用保険料計算書（上限2000万）'!$M$15,0,IF($B341&gt;'信用保険料計算書（上限2000万）'!$M$16,0,1)))</f>
        <v>0</v>
      </c>
      <c r="M341" s="209">
        <f>IF(L341=1,HLOOKUP(C341,'計算書（第5回）'!$C$123:$U$124,2,TRUE),0)</f>
        <v>0</v>
      </c>
      <c r="N341" s="209">
        <f>IF('信用保険料計算書（上限2000万）'!$O$15="",0,IF($B341&lt;'信用保険料計算書（上限2000万）'!$O$15,0,IF($B341&gt;'信用保険料計算書（上限2000万）'!$O$16,0,1)))</f>
        <v>0</v>
      </c>
      <c r="O341" s="209">
        <f>IF(N341=1,HLOOKUP(C341,'計算書（第6回）'!$C$123:$U$124,2,TRUE),0)</f>
        <v>0</v>
      </c>
      <c r="P341" s="209">
        <f>IF('信用保険料計算書（上限2000万）'!$Q$15="",0,IF($B341&lt;'信用保険料計算書（上限2000万）'!$Q$15,0,IF($B341&gt;'信用保険料計算書（上限2000万）'!$Q$16,0,1)))</f>
        <v>0</v>
      </c>
      <c r="Q341" s="209">
        <f>IF(P341=1,HLOOKUP(C341,'計算書（第7回）'!$C$123:$U$124,2,TRUE),0)</f>
        <v>0</v>
      </c>
      <c r="R341" s="213"/>
      <c r="S341" s="211">
        <f>COUNTIF($AB$13:$AB$19,"&lt;=2031/6/1")</f>
        <v>2</v>
      </c>
      <c r="T341" s="178">
        <f t="shared" si="40"/>
        <v>44743</v>
      </c>
      <c r="U341" s="181">
        <f t="shared" si="38"/>
        <v>0</v>
      </c>
      <c r="V341" s="182">
        <f t="shared" si="43"/>
        <v>0</v>
      </c>
      <c r="W341" s="245">
        <f t="shared" si="41"/>
        <v>0</v>
      </c>
      <c r="X341" s="182"/>
    </row>
    <row r="342" spans="2:24">
      <c r="B342" s="214">
        <f t="shared" si="39"/>
        <v>50952</v>
      </c>
      <c r="C342" s="198">
        <f t="shared" si="37"/>
        <v>50922</v>
      </c>
      <c r="D342" s="209">
        <f>IF(B342&lt;'信用保険料計算書（上限2000万）'!$E$15,0,IF(B342&gt;'信用保険料計算書（上限2000万）'!$E$16,0,1))</f>
        <v>0</v>
      </c>
      <c r="E342" s="209">
        <f>IF(D342=1,HLOOKUP(C342,'計算書（第1回）'!$C$123:$U$124,2,TRUE),0)</f>
        <v>0</v>
      </c>
      <c r="F342" s="209">
        <f>IF('信用保険料計算書（上限2000万）'!$G$15="",0,IF($B342&lt;'信用保険料計算書（上限2000万）'!$G$15,0,IF($B342&gt;'信用保険料計算書（上限2000万）'!$G$16,0,1)))</f>
        <v>0</v>
      </c>
      <c r="G342" s="209">
        <f>IF(F342=1,HLOOKUP(C342,'計算書（第2回）'!$C$123:$U$124,2,TRUE),0)</f>
        <v>0</v>
      </c>
      <c r="H342" s="209">
        <f>IF('信用保険料計算書（上限2000万）'!$I$15="",0,IF($B342&lt;'信用保険料計算書（上限2000万）'!$I$15,0,IF($B342&gt;'信用保険料計算書（上限2000万）'!$I$16,0,1)))</f>
        <v>0</v>
      </c>
      <c r="I342" s="209">
        <f>IF(H342=1,HLOOKUP(C342,'計算書（第3回）'!$C$123:$U$124,2,TRUE),0)</f>
        <v>0</v>
      </c>
      <c r="J342" s="209">
        <f>IF('信用保険料計算書（上限2000万）'!$K$15="",0,IF($B342&lt;'信用保険料計算書（上限2000万）'!$K$15,0,IF($B342&gt;'信用保険料計算書（上限2000万）'!$K$16,0,1)))</f>
        <v>0</v>
      </c>
      <c r="K342" s="209">
        <f>IF(J342=1,HLOOKUP(C342,'計算書（第4回）'!$C$123:$U$124,2,TRUE),0)</f>
        <v>0</v>
      </c>
      <c r="L342" s="209">
        <f>IF('信用保険料計算書（上限2000万）'!$M$15="",0,IF($B342&lt;'信用保険料計算書（上限2000万）'!$M$15,0,IF($B342&gt;'信用保険料計算書（上限2000万）'!$M$16,0,1)))</f>
        <v>0</v>
      </c>
      <c r="M342" s="209">
        <f>IF(L342=1,HLOOKUP(C342,'計算書（第5回）'!$C$123:$U$124,2,TRUE),0)</f>
        <v>0</v>
      </c>
      <c r="N342" s="209">
        <f>IF('信用保険料計算書（上限2000万）'!$O$15="",0,IF($B342&lt;'信用保険料計算書（上限2000万）'!$O$15,0,IF($B342&gt;'信用保険料計算書（上限2000万）'!$O$16,0,1)))</f>
        <v>0</v>
      </c>
      <c r="O342" s="209">
        <f>IF(N342=1,HLOOKUP(C342,'計算書（第6回）'!$C$123:$U$124,2,TRUE),0)</f>
        <v>0</v>
      </c>
      <c r="P342" s="209">
        <f>IF('信用保険料計算書（上限2000万）'!$Q$15="",0,IF($B342&lt;'信用保険料計算書（上限2000万）'!$Q$15,0,IF($B342&gt;'信用保険料計算書（上限2000万）'!$Q$16,0,1)))</f>
        <v>0</v>
      </c>
      <c r="Q342" s="209">
        <f>IF(P342=1,HLOOKUP(C342,'計算書（第7回）'!$C$123:$U$124,2,TRUE),0)</f>
        <v>0</v>
      </c>
      <c r="R342" s="213"/>
      <c r="S342" s="211">
        <f>COUNTIF($AB$13:$AB$19,"&lt;=2031/7/1")</f>
        <v>2</v>
      </c>
      <c r="T342" s="178">
        <f t="shared" si="40"/>
        <v>44743</v>
      </c>
      <c r="U342" s="181">
        <f t="shared" si="38"/>
        <v>0</v>
      </c>
      <c r="V342" s="182">
        <f t="shared" si="43"/>
        <v>0</v>
      </c>
      <c r="W342" s="245">
        <f t="shared" si="41"/>
        <v>0</v>
      </c>
      <c r="X342" s="182"/>
    </row>
    <row r="343" spans="2:24">
      <c r="B343" s="214">
        <f t="shared" si="39"/>
        <v>50983</v>
      </c>
      <c r="C343" s="198">
        <f t="shared" si="37"/>
        <v>50952</v>
      </c>
      <c r="D343" s="209">
        <f>IF(B343&lt;'信用保険料計算書（上限2000万）'!$E$15,0,IF(B343&gt;'信用保険料計算書（上限2000万）'!$E$16,0,1))</f>
        <v>0</v>
      </c>
      <c r="E343" s="209">
        <f>IF(D343=1,HLOOKUP(C343,'計算書（第1回）'!$C$123:$U$124,2,TRUE),0)</f>
        <v>0</v>
      </c>
      <c r="F343" s="209">
        <f>IF('信用保険料計算書（上限2000万）'!$G$15="",0,IF($B343&lt;'信用保険料計算書（上限2000万）'!$G$15,0,IF($B343&gt;'信用保険料計算書（上限2000万）'!$G$16,0,1)))</f>
        <v>0</v>
      </c>
      <c r="G343" s="209">
        <f>IF(F343=1,HLOOKUP(C343,'計算書（第2回）'!$C$123:$U$124,2,TRUE),0)</f>
        <v>0</v>
      </c>
      <c r="H343" s="209">
        <f>IF('信用保険料計算書（上限2000万）'!$I$15="",0,IF($B343&lt;'信用保険料計算書（上限2000万）'!$I$15,0,IF($B343&gt;'信用保険料計算書（上限2000万）'!$I$16,0,1)))</f>
        <v>0</v>
      </c>
      <c r="I343" s="209">
        <f>IF(H343=1,HLOOKUP(C343,'計算書（第3回）'!$C$123:$U$124,2,TRUE),0)</f>
        <v>0</v>
      </c>
      <c r="J343" s="209">
        <f>IF('信用保険料計算書（上限2000万）'!$K$15="",0,IF($B343&lt;'信用保険料計算書（上限2000万）'!$K$15,0,IF($B343&gt;'信用保険料計算書（上限2000万）'!$K$16,0,1)))</f>
        <v>0</v>
      </c>
      <c r="K343" s="209">
        <f>IF(J343=1,HLOOKUP(C343,'計算書（第4回）'!$C$123:$U$124,2,TRUE),0)</f>
        <v>0</v>
      </c>
      <c r="L343" s="209">
        <f>IF('信用保険料計算書（上限2000万）'!$M$15="",0,IF($B343&lt;'信用保険料計算書（上限2000万）'!$M$15,0,IF($B343&gt;'信用保険料計算書（上限2000万）'!$M$16,0,1)))</f>
        <v>0</v>
      </c>
      <c r="M343" s="209">
        <f>IF(L343=1,HLOOKUP(C343,'計算書（第5回）'!$C$123:$U$124,2,TRUE),0)</f>
        <v>0</v>
      </c>
      <c r="N343" s="209">
        <f>IF('信用保険料計算書（上限2000万）'!$O$15="",0,IF($B343&lt;'信用保険料計算書（上限2000万）'!$O$15,0,IF($B343&gt;'信用保険料計算書（上限2000万）'!$O$16,0,1)))</f>
        <v>0</v>
      </c>
      <c r="O343" s="209">
        <f>IF(N343=1,HLOOKUP(C343,'計算書（第6回）'!$C$123:$U$124,2,TRUE),0)</f>
        <v>0</v>
      </c>
      <c r="P343" s="209">
        <f>IF('信用保険料計算書（上限2000万）'!$Q$15="",0,IF($B343&lt;'信用保険料計算書（上限2000万）'!$Q$15,0,IF($B343&gt;'信用保険料計算書（上限2000万）'!$Q$16,0,1)))</f>
        <v>0</v>
      </c>
      <c r="Q343" s="209">
        <f>IF(P343=1,HLOOKUP(C343,'計算書（第7回）'!$C$123:$U$124,2,TRUE),0)</f>
        <v>0</v>
      </c>
      <c r="R343" s="213"/>
      <c r="S343" s="211">
        <f>COUNTIF($AB$13:$AB$19,"&lt;=2031/8/1")</f>
        <v>2</v>
      </c>
      <c r="T343" s="178">
        <f t="shared" si="40"/>
        <v>44743</v>
      </c>
      <c r="U343" s="181">
        <f t="shared" si="38"/>
        <v>0</v>
      </c>
      <c r="V343" s="182">
        <f t="shared" si="43"/>
        <v>0</v>
      </c>
      <c r="W343" s="245">
        <f t="shared" si="41"/>
        <v>0</v>
      </c>
      <c r="X343" s="182"/>
    </row>
    <row r="344" spans="2:24">
      <c r="B344" s="214">
        <f t="shared" si="39"/>
        <v>51014</v>
      </c>
      <c r="C344" s="198">
        <f t="shared" si="37"/>
        <v>50983</v>
      </c>
      <c r="D344" s="209">
        <f>IF(B344&lt;'信用保険料計算書（上限2000万）'!$E$15,0,IF(B344&gt;'信用保険料計算書（上限2000万）'!$E$16,0,1))</f>
        <v>0</v>
      </c>
      <c r="E344" s="209">
        <f>IF(D344=1,HLOOKUP(C344,'計算書（第1回）'!$C$123:$U$124,2,TRUE),0)</f>
        <v>0</v>
      </c>
      <c r="F344" s="209">
        <f>IF('信用保険料計算書（上限2000万）'!$G$15="",0,IF($B344&lt;'信用保険料計算書（上限2000万）'!$G$15,0,IF($B344&gt;'信用保険料計算書（上限2000万）'!$G$16,0,1)))</f>
        <v>0</v>
      </c>
      <c r="G344" s="209">
        <f>IF(F344=1,HLOOKUP(C344,'計算書（第2回）'!$C$123:$U$124,2,TRUE),0)</f>
        <v>0</v>
      </c>
      <c r="H344" s="209">
        <f>IF('信用保険料計算書（上限2000万）'!$I$15="",0,IF($B344&lt;'信用保険料計算書（上限2000万）'!$I$15,0,IF($B344&gt;'信用保険料計算書（上限2000万）'!$I$16,0,1)))</f>
        <v>0</v>
      </c>
      <c r="I344" s="209">
        <f>IF(H344=1,HLOOKUP(C344,'計算書（第3回）'!$C$123:$U$124,2,TRUE),0)</f>
        <v>0</v>
      </c>
      <c r="J344" s="209">
        <f>IF('信用保険料計算書（上限2000万）'!$K$15="",0,IF($B344&lt;'信用保険料計算書（上限2000万）'!$K$15,0,IF($B344&gt;'信用保険料計算書（上限2000万）'!$K$16,0,1)))</f>
        <v>0</v>
      </c>
      <c r="K344" s="209">
        <f>IF(J344=1,HLOOKUP(C344,'計算書（第4回）'!$C$123:$U$124,2,TRUE),0)</f>
        <v>0</v>
      </c>
      <c r="L344" s="209">
        <f>IF('信用保険料計算書（上限2000万）'!$M$15="",0,IF($B344&lt;'信用保険料計算書（上限2000万）'!$M$15,0,IF($B344&gt;'信用保険料計算書（上限2000万）'!$M$16,0,1)))</f>
        <v>0</v>
      </c>
      <c r="M344" s="209">
        <f>IF(L344=1,HLOOKUP(C344,'計算書（第5回）'!$C$123:$U$124,2,TRUE),0)</f>
        <v>0</v>
      </c>
      <c r="N344" s="209">
        <f>IF('信用保険料計算書（上限2000万）'!$O$15="",0,IF($B344&lt;'信用保険料計算書（上限2000万）'!$O$15,0,IF($B344&gt;'信用保険料計算書（上限2000万）'!$O$16,0,1)))</f>
        <v>0</v>
      </c>
      <c r="O344" s="209">
        <f>IF(N344=1,HLOOKUP(C344,'計算書（第6回）'!$C$123:$U$124,2,TRUE),0)</f>
        <v>0</v>
      </c>
      <c r="P344" s="209">
        <f>IF('信用保険料計算書（上限2000万）'!$Q$15="",0,IF($B344&lt;'信用保険料計算書（上限2000万）'!$Q$15,0,IF($B344&gt;'信用保険料計算書（上限2000万）'!$Q$16,0,1)))</f>
        <v>0</v>
      </c>
      <c r="Q344" s="209">
        <f>IF(P344=1,HLOOKUP(C344,'計算書（第7回）'!$C$123:$U$124,2,TRUE),0)</f>
        <v>0</v>
      </c>
      <c r="R344" s="213"/>
      <c r="S344" s="211">
        <f>COUNTIF($AB$13:$AB$19,"&lt;=2031/9/1")</f>
        <v>2</v>
      </c>
      <c r="T344" s="178">
        <f t="shared" si="40"/>
        <v>44743</v>
      </c>
      <c r="U344" s="181">
        <f t="shared" si="38"/>
        <v>0</v>
      </c>
      <c r="V344" s="182">
        <f t="shared" si="43"/>
        <v>0</v>
      </c>
      <c r="W344" s="245">
        <f t="shared" si="41"/>
        <v>0</v>
      </c>
      <c r="X344" s="183">
        <f>INT(SUM(W339:W344))</f>
        <v>0</v>
      </c>
    </row>
    <row r="345" spans="2:24">
      <c r="B345" s="214">
        <f t="shared" si="39"/>
        <v>51044</v>
      </c>
      <c r="C345" s="198">
        <f t="shared" si="37"/>
        <v>51014</v>
      </c>
      <c r="D345" s="209">
        <f>IF(B345&lt;'信用保険料計算書（上限2000万）'!$E$15,0,IF(B345&gt;'信用保険料計算書（上限2000万）'!$E$16,0,1))</f>
        <v>0</v>
      </c>
      <c r="E345" s="209">
        <f>IF(D345=1,HLOOKUP(C345,'計算書（第1回）'!$C$123:$U$124,2,TRUE),0)</f>
        <v>0</v>
      </c>
      <c r="F345" s="209">
        <f>IF('信用保険料計算書（上限2000万）'!$G$15="",0,IF($B345&lt;'信用保険料計算書（上限2000万）'!$G$15,0,IF($B345&gt;'信用保険料計算書（上限2000万）'!$G$16,0,1)))</f>
        <v>0</v>
      </c>
      <c r="G345" s="209">
        <f>IF(F345=1,HLOOKUP(C345,'計算書（第2回）'!$C$123:$U$124,2,TRUE),0)</f>
        <v>0</v>
      </c>
      <c r="H345" s="209">
        <f>IF('信用保険料計算書（上限2000万）'!$I$15="",0,IF($B345&lt;'信用保険料計算書（上限2000万）'!$I$15,0,IF($B345&gt;'信用保険料計算書（上限2000万）'!$I$16,0,1)))</f>
        <v>0</v>
      </c>
      <c r="I345" s="209">
        <f>IF(H345=1,HLOOKUP(C345,'計算書（第3回）'!$C$123:$U$124,2,TRUE),0)</f>
        <v>0</v>
      </c>
      <c r="J345" s="209">
        <f>IF('信用保険料計算書（上限2000万）'!$K$15="",0,IF($B345&lt;'信用保険料計算書（上限2000万）'!$K$15,0,IF($B345&gt;'信用保険料計算書（上限2000万）'!$K$16,0,1)))</f>
        <v>0</v>
      </c>
      <c r="K345" s="209">
        <f>IF(J345=1,HLOOKUP(C345,'計算書（第4回）'!$C$123:$U$124,2,TRUE),0)</f>
        <v>0</v>
      </c>
      <c r="L345" s="209">
        <f>IF('信用保険料計算書（上限2000万）'!$M$15="",0,IF($B345&lt;'信用保険料計算書（上限2000万）'!$M$15,0,IF($B345&gt;'信用保険料計算書（上限2000万）'!$M$16,0,1)))</f>
        <v>0</v>
      </c>
      <c r="M345" s="209">
        <f>IF(L345=1,HLOOKUP(C345,'計算書（第5回）'!$C$123:$U$124,2,TRUE),0)</f>
        <v>0</v>
      </c>
      <c r="N345" s="209">
        <f>IF('信用保険料計算書（上限2000万）'!$O$15="",0,IF($B345&lt;'信用保険料計算書（上限2000万）'!$O$15,0,IF($B345&gt;'信用保険料計算書（上限2000万）'!$O$16,0,1)))</f>
        <v>0</v>
      </c>
      <c r="O345" s="209">
        <f>IF(N345=1,HLOOKUP(C345,'計算書（第6回）'!$C$123:$U$124,2,TRUE),0)</f>
        <v>0</v>
      </c>
      <c r="P345" s="209">
        <f>IF('信用保険料計算書（上限2000万）'!$Q$15="",0,IF($B345&lt;'信用保険料計算書（上限2000万）'!$Q$15,0,IF($B345&gt;'信用保険料計算書（上限2000万）'!$Q$16,0,1)))</f>
        <v>0</v>
      </c>
      <c r="Q345" s="209">
        <f>IF(P345=1,HLOOKUP(C345,'計算書（第7回）'!$C$123:$U$124,2,TRUE),0)</f>
        <v>0</v>
      </c>
      <c r="R345" s="213"/>
      <c r="S345" s="211">
        <f>COUNTIF($AB$13:$AB$19,"&lt;=2031/10/1")</f>
        <v>2</v>
      </c>
      <c r="T345" s="178">
        <f t="shared" si="40"/>
        <v>44743</v>
      </c>
      <c r="U345" s="181">
        <f t="shared" si="38"/>
        <v>0</v>
      </c>
      <c r="V345" s="182">
        <f t="shared" si="43"/>
        <v>0</v>
      </c>
      <c r="W345" s="245">
        <f t="shared" si="41"/>
        <v>0</v>
      </c>
      <c r="X345" s="182"/>
    </row>
    <row r="346" spans="2:24">
      <c r="B346" s="214">
        <f t="shared" si="39"/>
        <v>51075</v>
      </c>
      <c r="C346" s="198">
        <f t="shared" si="37"/>
        <v>51044</v>
      </c>
      <c r="D346" s="209">
        <f>IF(B346&lt;'信用保険料計算書（上限2000万）'!$E$15,0,IF(B346&gt;'信用保険料計算書（上限2000万）'!$E$16,0,1))</f>
        <v>0</v>
      </c>
      <c r="E346" s="209">
        <f>IF(D346=1,HLOOKUP(C346,'計算書（第1回）'!$C$123:$U$124,2,TRUE),0)</f>
        <v>0</v>
      </c>
      <c r="F346" s="209">
        <f>IF('信用保険料計算書（上限2000万）'!$G$15="",0,IF($B346&lt;'信用保険料計算書（上限2000万）'!$G$15,0,IF($B346&gt;'信用保険料計算書（上限2000万）'!$G$16,0,1)))</f>
        <v>0</v>
      </c>
      <c r="G346" s="209">
        <f>IF(F346=1,HLOOKUP(C346,'計算書（第2回）'!$C$123:$U$124,2,TRUE),0)</f>
        <v>0</v>
      </c>
      <c r="H346" s="209">
        <f>IF('信用保険料計算書（上限2000万）'!$I$15="",0,IF($B346&lt;'信用保険料計算書（上限2000万）'!$I$15,0,IF($B346&gt;'信用保険料計算書（上限2000万）'!$I$16,0,1)))</f>
        <v>0</v>
      </c>
      <c r="I346" s="209">
        <f>IF(H346=1,HLOOKUP(C346,'計算書（第3回）'!$C$123:$U$124,2,TRUE),0)</f>
        <v>0</v>
      </c>
      <c r="J346" s="209">
        <f>IF('信用保険料計算書（上限2000万）'!$K$15="",0,IF($B346&lt;'信用保険料計算書（上限2000万）'!$K$15,0,IF($B346&gt;'信用保険料計算書（上限2000万）'!$K$16,0,1)))</f>
        <v>0</v>
      </c>
      <c r="K346" s="209">
        <f>IF(J346=1,HLOOKUP(C346,'計算書（第4回）'!$C$123:$U$124,2,TRUE),0)</f>
        <v>0</v>
      </c>
      <c r="L346" s="209">
        <f>IF('信用保険料計算書（上限2000万）'!$M$15="",0,IF($B346&lt;'信用保険料計算書（上限2000万）'!$M$15,0,IF($B346&gt;'信用保険料計算書（上限2000万）'!$M$16,0,1)))</f>
        <v>0</v>
      </c>
      <c r="M346" s="209">
        <f>IF(L346=1,HLOOKUP(C346,'計算書（第5回）'!$C$123:$U$124,2,TRUE),0)</f>
        <v>0</v>
      </c>
      <c r="N346" s="209">
        <f>IF('信用保険料計算書（上限2000万）'!$O$15="",0,IF($B346&lt;'信用保険料計算書（上限2000万）'!$O$15,0,IF($B346&gt;'信用保険料計算書（上限2000万）'!$O$16,0,1)))</f>
        <v>0</v>
      </c>
      <c r="O346" s="209">
        <f>IF(N346=1,HLOOKUP(C346,'計算書（第6回）'!$C$123:$U$124,2,TRUE),0)</f>
        <v>0</v>
      </c>
      <c r="P346" s="209">
        <f>IF('信用保険料計算書（上限2000万）'!$Q$15="",0,IF($B346&lt;'信用保険料計算書（上限2000万）'!$Q$15,0,IF($B346&gt;'信用保険料計算書（上限2000万）'!$Q$16,0,1)))</f>
        <v>0</v>
      </c>
      <c r="Q346" s="209">
        <f>IF(P346=1,HLOOKUP(C346,'計算書（第7回）'!$C$123:$U$124,2,TRUE),0)</f>
        <v>0</v>
      </c>
      <c r="R346" s="213"/>
      <c r="S346" s="211">
        <f>COUNTIF($AB$13:$AB$19,"&lt;=2031/11/1")</f>
        <v>2</v>
      </c>
      <c r="T346" s="178">
        <f t="shared" si="40"/>
        <v>44743</v>
      </c>
      <c r="U346" s="181">
        <f t="shared" si="38"/>
        <v>0</v>
      </c>
      <c r="V346" s="182">
        <f t="shared" si="43"/>
        <v>0</v>
      </c>
      <c r="W346" s="245">
        <f t="shared" si="41"/>
        <v>0</v>
      </c>
      <c r="X346" s="182"/>
    </row>
    <row r="347" spans="2:24">
      <c r="B347" s="214">
        <f t="shared" si="39"/>
        <v>51105</v>
      </c>
      <c r="C347" s="198">
        <f t="shared" si="37"/>
        <v>51075</v>
      </c>
      <c r="D347" s="209">
        <f>IF(B347&lt;'信用保険料計算書（上限2000万）'!$E$15,0,IF(B347&gt;'信用保険料計算書（上限2000万）'!$E$16,0,1))</f>
        <v>0</v>
      </c>
      <c r="E347" s="209">
        <f>IF(D347=1,HLOOKUP(C347,'計算書（第1回）'!$C$123:$U$124,2,TRUE),0)</f>
        <v>0</v>
      </c>
      <c r="F347" s="209">
        <f>IF('信用保険料計算書（上限2000万）'!$G$15="",0,IF($B347&lt;'信用保険料計算書（上限2000万）'!$G$15,0,IF($B347&gt;'信用保険料計算書（上限2000万）'!$G$16,0,1)))</f>
        <v>0</v>
      </c>
      <c r="G347" s="209">
        <f>IF(F347=1,HLOOKUP(C347,'計算書（第2回）'!$C$123:$U$124,2,TRUE),0)</f>
        <v>0</v>
      </c>
      <c r="H347" s="209">
        <f>IF('信用保険料計算書（上限2000万）'!$I$15="",0,IF($B347&lt;'信用保険料計算書（上限2000万）'!$I$15,0,IF($B347&gt;'信用保険料計算書（上限2000万）'!$I$16,0,1)))</f>
        <v>0</v>
      </c>
      <c r="I347" s="209">
        <f>IF(H347=1,HLOOKUP(C347,'計算書（第3回）'!$C$123:$U$124,2,TRUE),0)</f>
        <v>0</v>
      </c>
      <c r="J347" s="209">
        <f>IF('信用保険料計算書（上限2000万）'!$K$15="",0,IF($B347&lt;'信用保険料計算書（上限2000万）'!$K$15,0,IF($B347&gt;'信用保険料計算書（上限2000万）'!$K$16,0,1)))</f>
        <v>0</v>
      </c>
      <c r="K347" s="209">
        <f>IF(J347=1,HLOOKUP(C347,'計算書（第4回）'!$C$123:$U$124,2,TRUE),0)</f>
        <v>0</v>
      </c>
      <c r="L347" s="209">
        <f>IF('信用保険料計算書（上限2000万）'!$M$15="",0,IF($B347&lt;'信用保険料計算書（上限2000万）'!$M$15,0,IF($B347&gt;'信用保険料計算書（上限2000万）'!$M$16,0,1)))</f>
        <v>0</v>
      </c>
      <c r="M347" s="209">
        <f>IF(L347=1,HLOOKUP(C347,'計算書（第5回）'!$C$123:$U$124,2,TRUE),0)</f>
        <v>0</v>
      </c>
      <c r="N347" s="209">
        <f>IF('信用保険料計算書（上限2000万）'!$O$15="",0,IF($B347&lt;'信用保険料計算書（上限2000万）'!$O$15,0,IF($B347&gt;'信用保険料計算書（上限2000万）'!$O$16,0,1)))</f>
        <v>0</v>
      </c>
      <c r="O347" s="209">
        <f>IF(N347=1,HLOOKUP(C347,'計算書（第6回）'!$C$123:$U$124,2,TRUE),0)</f>
        <v>0</v>
      </c>
      <c r="P347" s="209">
        <f>IF('信用保険料計算書（上限2000万）'!$Q$15="",0,IF($B347&lt;'信用保険料計算書（上限2000万）'!$Q$15,0,IF($B347&gt;'信用保険料計算書（上限2000万）'!$Q$16,0,1)))</f>
        <v>0</v>
      </c>
      <c r="Q347" s="209">
        <f>IF(P347=1,HLOOKUP(C347,'計算書（第7回）'!$C$123:$U$124,2,TRUE),0)</f>
        <v>0</v>
      </c>
      <c r="R347" s="213"/>
      <c r="S347" s="211">
        <f>COUNTIF($AB$13:$AB$19,"&lt;=2031/12/1")</f>
        <v>2</v>
      </c>
      <c r="T347" s="178">
        <f t="shared" si="40"/>
        <v>44743</v>
      </c>
      <c r="U347" s="181">
        <f t="shared" si="38"/>
        <v>0</v>
      </c>
      <c r="V347" s="182">
        <f t="shared" si="43"/>
        <v>0</v>
      </c>
      <c r="W347" s="245">
        <f t="shared" si="41"/>
        <v>0</v>
      </c>
      <c r="X347" s="182"/>
    </row>
    <row r="348" spans="2:24">
      <c r="B348" s="214">
        <f t="shared" si="39"/>
        <v>51136</v>
      </c>
      <c r="C348" s="198">
        <f t="shared" si="37"/>
        <v>51105</v>
      </c>
      <c r="D348" s="209">
        <f>IF(B348&lt;'信用保険料計算書（上限2000万）'!$E$15,0,IF(B348&gt;'信用保険料計算書（上限2000万）'!$E$16,0,1))</f>
        <v>0</v>
      </c>
      <c r="E348" s="209">
        <f>IF(D348=1,HLOOKUP(C348,'計算書（第1回）'!$C$123:$U$124,2,TRUE),0)</f>
        <v>0</v>
      </c>
      <c r="F348" s="209">
        <f>IF('信用保険料計算書（上限2000万）'!$G$15="",0,IF($B348&lt;'信用保険料計算書（上限2000万）'!$G$15,0,IF($B348&gt;'信用保険料計算書（上限2000万）'!$G$16,0,1)))</f>
        <v>0</v>
      </c>
      <c r="G348" s="209">
        <f>IF(F348=1,HLOOKUP(C348,'計算書（第2回）'!$C$123:$U$124,2,TRUE),0)</f>
        <v>0</v>
      </c>
      <c r="H348" s="209">
        <f>IF('信用保険料計算書（上限2000万）'!$I$15="",0,IF($B348&lt;'信用保険料計算書（上限2000万）'!$I$15,0,IF($B348&gt;'信用保険料計算書（上限2000万）'!$I$16,0,1)))</f>
        <v>0</v>
      </c>
      <c r="I348" s="209">
        <f>IF(H348=1,HLOOKUP(C348,'計算書（第3回）'!$C$123:$U$124,2,TRUE),0)</f>
        <v>0</v>
      </c>
      <c r="J348" s="209">
        <f>IF('信用保険料計算書（上限2000万）'!$K$15="",0,IF($B348&lt;'信用保険料計算書（上限2000万）'!$K$15,0,IF($B348&gt;'信用保険料計算書（上限2000万）'!$K$16,0,1)))</f>
        <v>0</v>
      </c>
      <c r="K348" s="209">
        <f>IF(J348=1,HLOOKUP(C348,'計算書（第4回）'!$C$123:$U$124,2,TRUE),0)</f>
        <v>0</v>
      </c>
      <c r="L348" s="209">
        <f>IF('信用保険料計算書（上限2000万）'!$M$15="",0,IF($B348&lt;'信用保険料計算書（上限2000万）'!$M$15,0,IF($B348&gt;'信用保険料計算書（上限2000万）'!$M$16,0,1)))</f>
        <v>0</v>
      </c>
      <c r="M348" s="209">
        <f>IF(L348=1,HLOOKUP(C348,'計算書（第5回）'!$C$123:$U$124,2,TRUE),0)</f>
        <v>0</v>
      </c>
      <c r="N348" s="209">
        <f>IF('信用保険料計算書（上限2000万）'!$O$15="",0,IF($B348&lt;'信用保険料計算書（上限2000万）'!$O$15,0,IF($B348&gt;'信用保険料計算書（上限2000万）'!$O$16,0,1)))</f>
        <v>0</v>
      </c>
      <c r="O348" s="209">
        <f>IF(N348=1,HLOOKUP(C348,'計算書（第6回）'!$C$123:$U$124,2,TRUE),0)</f>
        <v>0</v>
      </c>
      <c r="P348" s="209">
        <f>IF('信用保険料計算書（上限2000万）'!$Q$15="",0,IF($B348&lt;'信用保険料計算書（上限2000万）'!$Q$15,0,IF($B348&gt;'信用保険料計算書（上限2000万）'!$Q$16,0,1)))</f>
        <v>0</v>
      </c>
      <c r="Q348" s="209">
        <f>IF(P348=1,HLOOKUP(C348,'計算書（第7回）'!$C$123:$U$124,2,TRUE),0)</f>
        <v>0</v>
      </c>
      <c r="R348" s="212"/>
      <c r="S348" s="211">
        <f>COUNTIF($AB$13:$AB$19,"&lt;=2032/1/1")</f>
        <v>2</v>
      </c>
      <c r="T348" s="178">
        <f t="shared" si="40"/>
        <v>44743</v>
      </c>
      <c r="U348" s="181">
        <f t="shared" si="38"/>
        <v>0</v>
      </c>
      <c r="V348" s="182">
        <f t="shared" si="43"/>
        <v>0</v>
      </c>
      <c r="W348" s="245">
        <f t="shared" si="41"/>
        <v>0</v>
      </c>
      <c r="X348" s="182"/>
    </row>
    <row r="349" spans="2:24">
      <c r="B349" s="214">
        <f t="shared" si="39"/>
        <v>51167</v>
      </c>
      <c r="C349" s="198">
        <f t="shared" si="37"/>
        <v>51136</v>
      </c>
      <c r="D349" s="209">
        <f>IF(B349&lt;'信用保険料計算書（上限2000万）'!$E$15,0,IF(B349&gt;'信用保険料計算書（上限2000万）'!$E$16,0,1))</f>
        <v>0</v>
      </c>
      <c r="E349" s="209">
        <f>IF(D349=1,HLOOKUP(C349,'計算書（第1回）'!$C$123:$U$124,2,TRUE),0)</f>
        <v>0</v>
      </c>
      <c r="F349" s="209">
        <f>IF('信用保険料計算書（上限2000万）'!$G$15="",0,IF($B349&lt;'信用保険料計算書（上限2000万）'!$G$15,0,IF($B349&gt;'信用保険料計算書（上限2000万）'!$G$16,0,1)))</f>
        <v>0</v>
      </c>
      <c r="G349" s="209">
        <f>IF(F349=1,HLOOKUP(C349,'計算書（第2回）'!$C$123:$U$124,2,TRUE),0)</f>
        <v>0</v>
      </c>
      <c r="H349" s="209">
        <f>IF('信用保険料計算書（上限2000万）'!$I$15="",0,IF($B349&lt;'信用保険料計算書（上限2000万）'!$I$15,0,IF($B349&gt;'信用保険料計算書（上限2000万）'!$I$16,0,1)))</f>
        <v>0</v>
      </c>
      <c r="I349" s="209">
        <f>IF(H349=1,HLOOKUP(C349,'計算書（第3回）'!$C$123:$U$124,2,TRUE),0)</f>
        <v>0</v>
      </c>
      <c r="J349" s="209">
        <f>IF('信用保険料計算書（上限2000万）'!$K$15="",0,IF($B349&lt;'信用保険料計算書（上限2000万）'!$K$15,0,IF($B349&gt;'信用保険料計算書（上限2000万）'!$K$16,0,1)))</f>
        <v>0</v>
      </c>
      <c r="K349" s="209">
        <f>IF(J349=1,HLOOKUP(C349,'計算書（第4回）'!$C$123:$U$124,2,TRUE),0)</f>
        <v>0</v>
      </c>
      <c r="L349" s="209">
        <f>IF('信用保険料計算書（上限2000万）'!$M$15="",0,IF($B349&lt;'信用保険料計算書（上限2000万）'!$M$15,0,IF($B349&gt;'信用保険料計算書（上限2000万）'!$M$16,0,1)))</f>
        <v>0</v>
      </c>
      <c r="M349" s="209">
        <f>IF(L349=1,HLOOKUP(C349,'計算書（第5回）'!$C$123:$U$124,2,TRUE),0)</f>
        <v>0</v>
      </c>
      <c r="N349" s="209">
        <f>IF('信用保険料計算書（上限2000万）'!$O$15="",0,IF($B349&lt;'信用保険料計算書（上限2000万）'!$O$15,0,IF($B349&gt;'信用保険料計算書（上限2000万）'!$O$16,0,1)))</f>
        <v>0</v>
      </c>
      <c r="O349" s="209">
        <f>IF(N349=1,HLOOKUP(C349,'計算書（第6回）'!$C$123:$U$124,2,TRUE),0)</f>
        <v>0</v>
      </c>
      <c r="P349" s="209">
        <f>IF('信用保険料計算書（上限2000万）'!$Q$15="",0,IF($B349&lt;'信用保険料計算書（上限2000万）'!$Q$15,0,IF($B349&gt;'信用保険料計算書（上限2000万）'!$Q$16,0,1)))</f>
        <v>0</v>
      </c>
      <c r="Q349" s="209">
        <f>IF(P349=1,HLOOKUP(C349,'計算書（第7回）'!$C$123:$U$124,2,TRUE),0)</f>
        <v>0</v>
      </c>
      <c r="R349" s="212"/>
      <c r="S349" s="211">
        <f>COUNTIF($AB$13:$AB$19,"&lt;=2032/2/1")</f>
        <v>2</v>
      </c>
      <c r="T349" s="178">
        <f t="shared" si="40"/>
        <v>44743</v>
      </c>
      <c r="U349" s="181">
        <f t="shared" si="38"/>
        <v>0</v>
      </c>
      <c r="V349" s="182">
        <f t="shared" si="43"/>
        <v>0</v>
      </c>
      <c r="W349" s="245">
        <f t="shared" si="41"/>
        <v>0</v>
      </c>
      <c r="X349" s="182"/>
    </row>
    <row r="350" spans="2:24">
      <c r="B350" s="214">
        <f t="shared" si="39"/>
        <v>51196</v>
      </c>
      <c r="C350" s="198">
        <f t="shared" si="37"/>
        <v>51167</v>
      </c>
      <c r="D350" s="209">
        <f>IF(B350&lt;'信用保険料計算書（上限2000万）'!$E$15,0,IF(B350&gt;'信用保険料計算書（上限2000万）'!$E$16,0,1))</f>
        <v>0</v>
      </c>
      <c r="E350" s="209">
        <f>IF(D350=1,HLOOKUP(C350,'計算書（第1回）'!$C$123:$U$124,2,TRUE),0)</f>
        <v>0</v>
      </c>
      <c r="F350" s="209">
        <f>IF('信用保険料計算書（上限2000万）'!$G$15="",0,IF($B350&lt;'信用保険料計算書（上限2000万）'!$G$15,0,IF($B350&gt;'信用保険料計算書（上限2000万）'!$G$16,0,1)))</f>
        <v>0</v>
      </c>
      <c r="G350" s="209">
        <f>IF(F350=1,HLOOKUP(C350,'計算書（第2回）'!$C$123:$U$124,2,TRUE),0)</f>
        <v>0</v>
      </c>
      <c r="H350" s="209">
        <f>IF('信用保険料計算書（上限2000万）'!$I$15="",0,IF($B350&lt;'信用保険料計算書（上限2000万）'!$I$15,0,IF($B350&gt;'信用保険料計算書（上限2000万）'!$I$16,0,1)))</f>
        <v>0</v>
      </c>
      <c r="I350" s="209">
        <f>IF(H350=1,HLOOKUP(C350,'計算書（第3回）'!$C$123:$U$124,2,TRUE),0)</f>
        <v>0</v>
      </c>
      <c r="J350" s="209">
        <f>IF('信用保険料計算書（上限2000万）'!$K$15="",0,IF($B350&lt;'信用保険料計算書（上限2000万）'!$K$15,0,IF($B350&gt;'信用保険料計算書（上限2000万）'!$K$16,0,1)))</f>
        <v>0</v>
      </c>
      <c r="K350" s="209">
        <f>IF(J350=1,HLOOKUP(C350,'計算書（第4回）'!$C$123:$U$124,2,TRUE),0)</f>
        <v>0</v>
      </c>
      <c r="L350" s="209">
        <f>IF('信用保険料計算書（上限2000万）'!$M$15="",0,IF($B350&lt;'信用保険料計算書（上限2000万）'!$M$15,0,IF($B350&gt;'信用保険料計算書（上限2000万）'!$M$16,0,1)))</f>
        <v>0</v>
      </c>
      <c r="M350" s="209">
        <f>IF(L350=1,HLOOKUP(C350,'計算書（第5回）'!$C$123:$U$124,2,TRUE),0)</f>
        <v>0</v>
      </c>
      <c r="N350" s="209">
        <f>IF('信用保険料計算書（上限2000万）'!$O$15="",0,IF($B350&lt;'信用保険料計算書（上限2000万）'!$O$15,0,IF($B350&gt;'信用保険料計算書（上限2000万）'!$O$16,0,1)))</f>
        <v>0</v>
      </c>
      <c r="O350" s="209">
        <f>IF(N350=1,HLOOKUP(C350,'計算書（第6回）'!$C$123:$U$124,2,TRUE),0)</f>
        <v>0</v>
      </c>
      <c r="P350" s="209">
        <f>IF('信用保険料計算書（上限2000万）'!$Q$15="",0,IF($B350&lt;'信用保険料計算書（上限2000万）'!$Q$15,0,IF($B350&gt;'信用保険料計算書（上限2000万）'!$Q$16,0,1)))</f>
        <v>0</v>
      </c>
      <c r="Q350" s="209">
        <f>IF(P350=1,HLOOKUP(C350,'計算書（第7回）'!$C$123:$U$124,2,TRUE),0)</f>
        <v>0</v>
      </c>
      <c r="R350" s="212"/>
      <c r="S350" s="211">
        <f>COUNTIF($AB$13:$AB$19,"&lt;=2032/3/1")</f>
        <v>2</v>
      </c>
      <c r="T350" s="178">
        <f t="shared" si="40"/>
        <v>44743</v>
      </c>
      <c r="U350" s="181">
        <f t="shared" si="38"/>
        <v>0</v>
      </c>
      <c r="V350" s="182">
        <f t="shared" si="43"/>
        <v>0</v>
      </c>
      <c r="W350" s="245">
        <f t="shared" si="41"/>
        <v>0</v>
      </c>
      <c r="X350" s="183">
        <f>INT(SUM(W345:W350))</f>
        <v>0</v>
      </c>
    </row>
    <row r="351" spans="2:24">
      <c r="B351" s="214">
        <f t="shared" si="39"/>
        <v>51227</v>
      </c>
      <c r="C351" s="198">
        <f t="shared" si="37"/>
        <v>51196</v>
      </c>
      <c r="D351" s="209">
        <f>IF(B351&lt;'信用保険料計算書（上限2000万）'!$E$15,0,IF(B351&gt;'信用保険料計算書（上限2000万）'!$E$16,0,1))</f>
        <v>0</v>
      </c>
      <c r="E351" s="209">
        <f>IF(D351=1,HLOOKUP(C351,'計算書（第1回）'!$C$123:$U$124,2,TRUE),0)</f>
        <v>0</v>
      </c>
      <c r="F351" s="209">
        <f>IF('信用保険料計算書（上限2000万）'!$G$15="",0,IF($B351&lt;'信用保険料計算書（上限2000万）'!$G$15,0,IF($B351&gt;'信用保険料計算書（上限2000万）'!$G$16,0,1)))</f>
        <v>0</v>
      </c>
      <c r="G351" s="209">
        <f>IF(F351=1,HLOOKUP(C351,'計算書（第2回）'!$C$123:$U$124,2,TRUE),0)</f>
        <v>0</v>
      </c>
      <c r="H351" s="209">
        <f>IF('信用保険料計算書（上限2000万）'!$I$15="",0,IF($B351&lt;'信用保険料計算書（上限2000万）'!$I$15,0,IF($B351&gt;'信用保険料計算書（上限2000万）'!$I$16,0,1)))</f>
        <v>0</v>
      </c>
      <c r="I351" s="209">
        <f>IF(H351=1,HLOOKUP(C351,'計算書（第3回）'!$C$123:$U$124,2,TRUE),0)</f>
        <v>0</v>
      </c>
      <c r="J351" s="209">
        <f>IF('信用保険料計算書（上限2000万）'!$K$15="",0,IF($B351&lt;'信用保険料計算書（上限2000万）'!$K$15,0,IF($B351&gt;'信用保険料計算書（上限2000万）'!$K$16,0,1)))</f>
        <v>0</v>
      </c>
      <c r="K351" s="209">
        <f>IF(J351=1,HLOOKUP(C351,'計算書（第4回）'!$C$123:$U$124,2,TRUE),0)</f>
        <v>0</v>
      </c>
      <c r="L351" s="209">
        <f>IF('信用保険料計算書（上限2000万）'!$M$15="",0,IF($B351&lt;'信用保険料計算書（上限2000万）'!$M$15,0,IF($B351&gt;'信用保険料計算書（上限2000万）'!$M$16,0,1)))</f>
        <v>0</v>
      </c>
      <c r="M351" s="209">
        <f>IF(L351=1,HLOOKUP(C351,'計算書（第5回）'!$C$123:$U$124,2,TRUE),0)</f>
        <v>0</v>
      </c>
      <c r="N351" s="209">
        <f>IF('信用保険料計算書（上限2000万）'!$O$15="",0,IF($B351&lt;'信用保険料計算書（上限2000万）'!$O$15,0,IF($B351&gt;'信用保険料計算書（上限2000万）'!$O$16,0,1)))</f>
        <v>0</v>
      </c>
      <c r="O351" s="209">
        <f>IF(N351=1,HLOOKUP(C351,'計算書（第6回）'!$C$123:$U$124,2,TRUE),0)</f>
        <v>0</v>
      </c>
      <c r="P351" s="209">
        <f>IF('信用保険料計算書（上限2000万）'!$Q$15="",0,IF($B351&lt;'信用保険料計算書（上限2000万）'!$Q$15,0,IF($B351&gt;'信用保険料計算書（上限2000万）'!$Q$16,0,1)))</f>
        <v>0</v>
      </c>
      <c r="Q351" s="209">
        <f>IF(P351=1,HLOOKUP(C351,'計算書（第7回）'!$C$123:$U$124,2,TRUE),0)</f>
        <v>0</v>
      </c>
      <c r="R351" s="213"/>
      <c r="S351" s="211">
        <f>COUNTIF($AB$13:$AB$19,"&lt;=2031/4/1")</f>
        <v>2</v>
      </c>
      <c r="T351" s="178">
        <f t="shared" si="40"/>
        <v>44743</v>
      </c>
      <c r="U351" s="181">
        <f t="shared" si="38"/>
        <v>0</v>
      </c>
      <c r="V351" s="182">
        <f t="shared" ref="V351:V362" si="44">IF(U351=0,0,IF(U351&gt;VLOOKUP(T351,$AA$5:$AB$8,2,TRUE),VLOOKUP(T351,$AA$5:$AB$8,2,TRUE),U351))</f>
        <v>0</v>
      </c>
      <c r="W351" s="245">
        <f t="shared" si="41"/>
        <v>0</v>
      </c>
      <c r="X351" s="182"/>
    </row>
    <row r="352" spans="2:24">
      <c r="B352" s="214">
        <f t="shared" si="39"/>
        <v>51257</v>
      </c>
      <c r="C352" s="198">
        <f t="shared" si="37"/>
        <v>51227</v>
      </c>
      <c r="D352" s="209">
        <f>IF(B352&lt;'信用保険料計算書（上限2000万）'!$E$15,0,IF(B352&gt;'信用保険料計算書（上限2000万）'!$E$16,0,1))</f>
        <v>0</v>
      </c>
      <c r="E352" s="209">
        <f>IF(D352=1,HLOOKUP(C352,'計算書（第1回）'!$C$123:$U$124,2,TRUE),0)</f>
        <v>0</v>
      </c>
      <c r="F352" s="209">
        <f>IF('信用保険料計算書（上限2000万）'!$G$15="",0,IF($B352&lt;'信用保険料計算書（上限2000万）'!$G$15,0,IF($B352&gt;'信用保険料計算書（上限2000万）'!$G$16,0,1)))</f>
        <v>0</v>
      </c>
      <c r="G352" s="209">
        <f>IF(F352=1,HLOOKUP(C352,'計算書（第2回）'!$C$123:$U$124,2,TRUE),0)</f>
        <v>0</v>
      </c>
      <c r="H352" s="209">
        <f>IF('信用保険料計算書（上限2000万）'!$I$15="",0,IF($B352&lt;'信用保険料計算書（上限2000万）'!$I$15,0,IF($B352&gt;'信用保険料計算書（上限2000万）'!$I$16,0,1)))</f>
        <v>0</v>
      </c>
      <c r="I352" s="209">
        <f>IF(H352=1,HLOOKUP(C352,'計算書（第3回）'!$C$123:$U$124,2,TRUE),0)</f>
        <v>0</v>
      </c>
      <c r="J352" s="209">
        <f>IF('信用保険料計算書（上限2000万）'!$K$15="",0,IF($B352&lt;'信用保険料計算書（上限2000万）'!$K$15,0,IF($B352&gt;'信用保険料計算書（上限2000万）'!$K$16,0,1)))</f>
        <v>0</v>
      </c>
      <c r="K352" s="209">
        <f>IF(J352=1,HLOOKUP(C352,'計算書（第4回）'!$C$123:$U$124,2,TRUE),0)</f>
        <v>0</v>
      </c>
      <c r="L352" s="209">
        <f>IF('信用保険料計算書（上限2000万）'!$M$15="",0,IF($B352&lt;'信用保険料計算書（上限2000万）'!$M$15,0,IF($B352&gt;'信用保険料計算書（上限2000万）'!$M$16,0,1)))</f>
        <v>0</v>
      </c>
      <c r="M352" s="209">
        <f>IF(L352=1,HLOOKUP(C352,'計算書（第5回）'!$C$123:$U$124,2,TRUE),0)</f>
        <v>0</v>
      </c>
      <c r="N352" s="209">
        <f>IF('信用保険料計算書（上限2000万）'!$O$15="",0,IF($B352&lt;'信用保険料計算書（上限2000万）'!$O$15,0,IF($B352&gt;'信用保険料計算書（上限2000万）'!$O$16,0,1)))</f>
        <v>0</v>
      </c>
      <c r="O352" s="209">
        <f>IF(N352=1,HLOOKUP(C352,'計算書（第6回）'!$C$123:$U$124,2,TRUE),0)</f>
        <v>0</v>
      </c>
      <c r="P352" s="209">
        <f>IF('信用保険料計算書（上限2000万）'!$Q$15="",0,IF($B352&lt;'信用保険料計算書（上限2000万）'!$Q$15,0,IF($B352&gt;'信用保険料計算書（上限2000万）'!$Q$16,0,1)))</f>
        <v>0</v>
      </c>
      <c r="Q352" s="209">
        <f>IF(P352=1,HLOOKUP(C352,'計算書（第7回）'!$C$123:$U$124,2,TRUE),0)</f>
        <v>0</v>
      </c>
      <c r="R352" s="213"/>
      <c r="S352" s="211">
        <f>COUNTIF($AB$13:$AB$19,"&lt;=2031/5/1")</f>
        <v>2</v>
      </c>
      <c r="T352" s="178">
        <f t="shared" si="40"/>
        <v>44743</v>
      </c>
      <c r="U352" s="181">
        <f t="shared" si="38"/>
        <v>0</v>
      </c>
      <c r="V352" s="182">
        <f t="shared" si="44"/>
        <v>0</v>
      </c>
      <c r="W352" s="245">
        <f t="shared" si="41"/>
        <v>0</v>
      </c>
      <c r="X352" s="182"/>
    </row>
    <row r="353" spans="2:24">
      <c r="B353" s="214">
        <f t="shared" si="39"/>
        <v>51288</v>
      </c>
      <c r="C353" s="198">
        <f t="shared" si="37"/>
        <v>51257</v>
      </c>
      <c r="D353" s="209">
        <f>IF(B353&lt;'信用保険料計算書（上限2000万）'!$E$15,0,IF(B353&gt;'信用保険料計算書（上限2000万）'!$E$16,0,1))</f>
        <v>0</v>
      </c>
      <c r="E353" s="209">
        <f>IF(D353=1,HLOOKUP(C353,'計算書（第1回）'!$C$123:$U$124,2,TRUE),0)</f>
        <v>0</v>
      </c>
      <c r="F353" s="209">
        <f>IF('信用保険料計算書（上限2000万）'!$G$15="",0,IF($B353&lt;'信用保険料計算書（上限2000万）'!$G$15,0,IF($B353&gt;'信用保険料計算書（上限2000万）'!$G$16,0,1)))</f>
        <v>0</v>
      </c>
      <c r="G353" s="209">
        <f>IF(F353=1,HLOOKUP(C353,'計算書（第2回）'!$C$123:$U$124,2,TRUE),0)</f>
        <v>0</v>
      </c>
      <c r="H353" s="209">
        <f>IF('信用保険料計算書（上限2000万）'!$I$15="",0,IF($B353&lt;'信用保険料計算書（上限2000万）'!$I$15,0,IF($B353&gt;'信用保険料計算書（上限2000万）'!$I$16,0,1)))</f>
        <v>0</v>
      </c>
      <c r="I353" s="209">
        <f>IF(H353=1,HLOOKUP(C353,'計算書（第3回）'!$C$123:$U$124,2,TRUE),0)</f>
        <v>0</v>
      </c>
      <c r="J353" s="209">
        <f>IF('信用保険料計算書（上限2000万）'!$K$15="",0,IF($B353&lt;'信用保険料計算書（上限2000万）'!$K$15,0,IF($B353&gt;'信用保険料計算書（上限2000万）'!$K$16,0,1)))</f>
        <v>0</v>
      </c>
      <c r="K353" s="209">
        <f>IF(J353=1,HLOOKUP(C353,'計算書（第4回）'!$C$123:$U$124,2,TRUE),0)</f>
        <v>0</v>
      </c>
      <c r="L353" s="209">
        <f>IF('信用保険料計算書（上限2000万）'!$M$15="",0,IF($B353&lt;'信用保険料計算書（上限2000万）'!$M$15,0,IF($B353&gt;'信用保険料計算書（上限2000万）'!$M$16,0,1)))</f>
        <v>0</v>
      </c>
      <c r="M353" s="209">
        <f>IF(L353=1,HLOOKUP(C353,'計算書（第5回）'!$C$123:$U$124,2,TRUE),0)</f>
        <v>0</v>
      </c>
      <c r="N353" s="209">
        <f>IF('信用保険料計算書（上限2000万）'!$O$15="",0,IF($B353&lt;'信用保険料計算書（上限2000万）'!$O$15,0,IF($B353&gt;'信用保険料計算書（上限2000万）'!$O$16,0,1)))</f>
        <v>0</v>
      </c>
      <c r="O353" s="209">
        <f>IF(N353=1,HLOOKUP(C353,'計算書（第6回）'!$C$123:$U$124,2,TRUE),0)</f>
        <v>0</v>
      </c>
      <c r="P353" s="209">
        <f>IF('信用保険料計算書（上限2000万）'!$Q$15="",0,IF($B353&lt;'信用保険料計算書（上限2000万）'!$Q$15,0,IF($B353&gt;'信用保険料計算書（上限2000万）'!$Q$16,0,1)))</f>
        <v>0</v>
      </c>
      <c r="Q353" s="209">
        <f>IF(P353=1,HLOOKUP(C353,'計算書（第7回）'!$C$123:$U$124,2,TRUE),0)</f>
        <v>0</v>
      </c>
      <c r="R353" s="213"/>
      <c r="S353" s="211">
        <f>COUNTIF($AB$13:$AB$19,"&lt;=2031/6/1")</f>
        <v>2</v>
      </c>
      <c r="T353" s="178">
        <f t="shared" si="40"/>
        <v>44743</v>
      </c>
      <c r="U353" s="181">
        <f t="shared" si="38"/>
        <v>0</v>
      </c>
      <c r="V353" s="182">
        <f t="shared" si="44"/>
        <v>0</v>
      </c>
      <c r="W353" s="245">
        <f t="shared" si="41"/>
        <v>0</v>
      </c>
      <c r="X353" s="182"/>
    </row>
    <row r="354" spans="2:24">
      <c r="B354" s="214">
        <f t="shared" si="39"/>
        <v>51318</v>
      </c>
      <c r="C354" s="198">
        <f t="shared" si="37"/>
        <v>51288</v>
      </c>
      <c r="D354" s="209">
        <f>IF(B354&lt;'信用保険料計算書（上限2000万）'!$E$15,0,IF(B354&gt;'信用保険料計算書（上限2000万）'!$E$16,0,1))</f>
        <v>0</v>
      </c>
      <c r="E354" s="209">
        <f>IF(D354=1,HLOOKUP(C354,'計算書（第1回）'!$C$123:$U$124,2,TRUE),0)</f>
        <v>0</v>
      </c>
      <c r="F354" s="209">
        <f>IF('信用保険料計算書（上限2000万）'!$G$15="",0,IF($B354&lt;'信用保険料計算書（上限2000万）'!$G$15,0,IF($B354&gt;'信用保険料計算書（上限2000万）'!$G$16,0,1)))</f>
        <v>0</v>
      </c>
      <c r="G354" s="209">
        <f>IF(F354=1,HLOOKUP(C354,'計算書（第2回）'!$C$123:$U$124,2,TRUE),0)</f>
        <v>0</v>
      </c>
      <c r="H354" s="209">
        <f>IF('信用保険料計算書（上限2000万）'!$I$15="",0,IF($B354&lt;'信用保険料計算書（上限2000万）'!$I$15,0,IF($B354&gt;'信用保険料計算書（上限2000万）'!$I$16,0,1)))</f>
        <v>0</v>
      </c>
      <c r="I354" s="209">
        <f>IF(H354=1,HLOOKUP(C354,'計算書（第3回）'!$C$123:$U$124,2,TRUE),0)</f>
        <v>0</v>
      </c>
      <c r="J354" s="209">
        <f>IF('信用保険料計算書（上限2000万）'!$K$15="",0,IF($B354&lt;'信用保険料計算書（上限2000万）'!$K$15,0,IF($B354&gt;'信用保険料計算書（上限2000万）'!$K$16,0,1)))</f>
        <v>0</v>
      </c>
      <c r="K354" s="209">
        <f>IF(J354=1,HLOOKUP(C354,'計算書（第4回）'!$C$123:$U$124,2,TRUE),0)</f>
        <v>0</v>
      </c>
      <c r="L354" s="209">
        <f>IF('信用保険料計算書（上限2000万）'!$M$15="",0,IF($B354&lt;'信用保険料計算書（上限2000万）'!$M$15,0,IF($B354&gt;'信用保険料計算書（上限2000万）'!$M$16,0,1)))</f>
        <v>0</v>
      </c>
      <c r="M354" s="209">
        <f>IF(L354=1,HLOOKUP(C354,'計算書（第5回）'!$C$123:$U$124,2,TRUE),0)</f>
        <v>0</v>
      </c>
      <c r="N354" s="209">
        <f>IF('信用保険料計算書（上限2000万）'!$O$15="",0,IF($B354&lt;'信用保険料計算書（上限2000万）'!$O$15,0,IF($B354&gt;'信用保険料計算書（上限2000万）'!$O$16,0,1)))</f>
        <v>0</v>
      </c>
      <c r="O354" s="209">
        <f>IF(N354=1,HLOOKUP(C354,'計算書（第6回）'!$C$123:$U$124,2,TRUE),0)</f>
        <v>0</v>
      </c>
      <c r="P354" s="209">
        <f>IF('信用保険料計算書（上限2000万）'!$Q$15="",0,IF($B354&lt;'信用保険料計算書（上限2000万）'!$Q$15,0,IF($B354&gt;'信用保険料計算書（上限2000万）'!$Q$16,0,1)))</f>
        <v>0</v>
      </c>
      <c r="Q354" s="209">
        <f>IF(P354=1,HLOOKUP(C354,'計算書（第7回）'!$C$123:$U$124,2,TRUE),0)</f>
        <v>0</v>
      </c>
      <c r="R354" s="213"/>
      <c r="S354" s="211">
        <f>COUNTIF($AB$13:$AB$19,"&lt;=2031/7/1")</f>
        <v>2</v>
      </c>
      <c r="T354" s="178">
        <f t="shared" si="40"/>
        <v>44743</v>
      </c>
      <c r="U354" s="181">
        <f t="shared" si="38"/>
        <v>0</v>
      </c>
      <c r="V354" s="182">
        <f t="shared" si="44"/>
        <v>0</v>
      </c>
      <c r="W354" s="245">
        <f t="shared" si="41"/>
        <v>0</v>
      </c>
      <c r="X354" s="182"/>
    </row>
    <row r="355" spans="2:24">
      <c r="B355" s="214">
        <f t="shared" si="39"/>
        <v>51349</v>
      </c>
      <c r="C355" s="198">
        <f t="shared" si="37"/>
        <v>51318</v>
      </c>
      <c r="D355" s="209">
        <f>IF(B355&lt;'信用保険料計算書（上限2000万）'!$E$15,0,IF(B355&gt;'信用保険料計算書（上限2000万）'!$E$16,0,1))</f>
        <v>0</v>
      </c>
      <c r="E355" s="209">
        <f>IF(D355=1,HLOOKUP(C355,'計算書（第1回）'!$C$123:$U$124,2,TRUE),0)</f>
        <v>0</v>
      </c>
      <c r="F355" s="209">
        <f>IF('信用保険料計算書（上限2000万）'!$G$15="",0,IF($B355&lt;'信用保険料計算書（上限2000万）'!$G$15,0,IF($B355&gt;'信用保険料計算書（上限2000万）'!$G$16,0,1)))</f>
        <v>0</v>
      </c>
      <c r="G355" s="209">
        <f>IF(F355=1,HLOOKUP(C355,'計算書（第2回）'!$C$123:$U$124,2,TRUE),0)</f>
        <v>0</v>
      </c>
      <c r="H355" s="209">
        <f>IF('信用保険料計算書（上限2000万）'!$I$15="",0,IF($B355&lt;'信用保険料計算書（上限2000万）'!$I$15,0,IF($B355&gt;'信用保険料計算書（上限2000万）'!$I$16,0,1)))</f>
        <v>0</v>
      </c>
      <c r="I355" s="209">
        <f>IF(H355=1,HLOOKUP(C355,'計算書（第3回）'!$C$123:$U$124,2,TRUE),0)</f>
        <v>0</v>
      </c>
      <c r="J355" s="209">
        <f>IF('信用保険料計算書（上限2000万）'!$K$15="",0,IF($B355&lt;'信用保険料計算書（上限2000万）'!$K$15,0,IF($B355&gt;'信用保険料計算書（上限2000万）'!$K$16,0,1)))</f>
        <v>0</v>
      </c>
      <c r="K355" s="209">
        <f>IF(J355=1,HLOOKUP(C355,'計算書（第4回）'!$C$123:$U$124,2,TRUE),0)</f>
        <v>0</v>
      </c>
      <c r="L355" s="209">
        <f>IF('信用保険料計算書（上限2000万）'!$M$15="",0,IF($B355&lt;'信用保険料計算書（上限2000万）'!$M$15,0,IF($B355&gt;'信用保険料計算書（上限2000万）'!$M$16,0,1)))</f>
        <v>0</v>
      </c>
      <c r="M355" s="209">
        <f>IF(L355=1,HLOOKUP(C355,'計算書（第5回）'!$C$123:$U$124,2,TRUE),0)</f>
        <v>0</v>
      </c>
      <c r="N355" s="209">
        <f>IF('信用保険料計算書（上限2000万）'!$O$15="",0,IF($B355&lt;'信用保険料計算書（上限2000万）'!$O$15,0,IF($B355&gt;'信用保険料計算書（上限2000万）'!$O$16,0,1)))</f>
        <v>0</v>
      </c>
      <c r="O355" s="209">
        <f>IF(N355=1,HLOOKUP(C355,'計算書（第6回）'!$C$123:$U$124,2,TRUE),0)</f>
        <v>0</v>
      </c>
      <c r="P355" s="209">
        <f>IF('信用保険料計算書（上限2000万）'!$Q$15="",0,IF($B355&lt;'信用保険料計算書（上限2000万）'!$Q$15,0,IF($B355&gt;'信用保険料計算書（上限2000万）'!$Q$16,0,1)))</f>
        <v>0</v>
      </c>
      <c r="Q355" s="209">
        <f>IF(P355=1,HLOOKUP(C355,'計算書（第7回）'!$C$123:$U$124,2,TRUE),0)</f>
        <v>0</v>
      </c>
      <c r="R355" s="213"/>
      <c r="S355" s="211">
        <f>COUNTIF($AB$13:$AB$19,"&lt;=2031/8/1")</f>
        <v>2</v>
      </c>
      <c r="T355" s="178">
        <f t="shared" si="40"/>
        <v>44743</v>
      </c>
      <c r="U355" s="181">
        <f t="shared" si="38"/>
        <v>0</v>
      </c>
      <c r="V355" s="182">
        <f t="shared" si="44"/>
        <v>0</v>
      </c>
      <c r="W355" s="245">
        <f t="shared" si="41"/>
        <v>0</v>
      </c>
      <c r="X355" s="182"/>
    </row>
    <row r="356" spans="2:24">
      <c r="B356" s="214">
        <f t="shared" si="39"/>
        <v>51380</v>
      </c>
      <c r="C356" s="198">
        <f t="shared" si="37"/>
        <v>51349</v>
      </c>
      <c r="D356" s="209">
        <f>IF(B356&lt;'信用保険料計算書（上限2000万）'!$E$15,0,IF(B356&gt;'信用保険料計算書（上限2000万）'!$E$16,0,1))</f>
        <v>0</v>
      </c>
      <c r="E356" s="209">
        <f>IF(D356=1,HLOOKUP(C356,'計算書（第1回）'!$C$123:$U$124,2,TRUE),0)</f>
        <v>0</v>
      </c>
      <c r="F356" s="209">
        <f>IF('信用保険料計算書（上限2000万）'!$G$15="",0,IF($B356&lt;'信用保険料計算書（上限2000万）'!$G$15,0,IF($B356&gt;'信用保険料計算書（上限2000万）'!$G$16,0,1)))</f>
        <v>0</v>
      </c>
      <c r="G356" s="209">
        <f>IF(F356=1,HLOOKUP(C356,'計算書（第2回）'!$C$123:$U$124,2,TRUE),0)</f>
        <v>0</v>
      </c>
      <c r="H356" s="209">
        <f>IF('信用保険料計算書（上限2000万）'!$I$15="",0,IF($B356&lt;'信用保険料計算書（上限2000万）'!$I$15,0,IF($B356&gt;'信用保険料計算書（上限2000万）'!$I$16,0,1)))</f>
        <v>0</v>
      </c>
      <c r="I356" s="209">
        <f>IF(H356=1,HLOOKUP(C356,'計算書（第3回）'!$C$123:$U$124,2,TRUE),0)</f>
        <v>0</v>
      </c>
      <c r="J356" s="209">
        <f>IF('信用保険料計算書（上限2000万）'!$K$15="",0,IF($B356&lt;'信用保険料計算書（上限2000万）'!$K$15,0,IF($B356&gt;'信用保険料計算書（上限2000万）'!$K$16,0,1)))</f>
        <v>0</v>
      </c>
      <c r="K356" s="209">
        <f>IF(J356=1,HLOOKUP(C356,'計算書（第4回）'!$C$123:$U$124,2,TRUE),0)</f>
        <v>0</v>
      </c>
      <c r="L356" s="209">
        <f>IF('信用保険料計算書（上限2000万）'!$M$15="",0,IF($B356&lt;'信用保険料計算書（上限2000万）'!$M$15,0,IF($B356&gt;'信用保険料計算書（上限2000万）'!$M$16,0,1)))</f>
        <v>0</v>
      </c>
      <c r="M356" s="209">
        <f>IF(L356=1,HLOOKUP(C356,'計算書（第5回）'!$C$123:$U$124,2,TRUE),0)</f>
        <v>0</v>
      </c>
      <c r="N356" s="209">
        <f>IF('信用保険料計算書（上限2000万）'!$O$15="",0,IF($B356&lt;'信用保険料計算書（上限2000万）'!$O$15,0,IF($B356&gt;'信用保険料計算書（上限2000万）'!$O$16,0,1)))</f>
        <v>0</v>
      </c>
      <c r="O356" s="209">
        <f>IF(N356=1,HLOOKUP(C356,'計算書（第6回）'!$C$123:$U$124,2,TRUE),0)</f>
        <v>0</v>
      </c>
      <c r="P356" s="209">
        <f>IF('信用保険料計算書（上限2000万）'!$Q$15="",0,IF($B356&lt;'信用保険料計算書（上限2000万）'!$Q$15,0,IF($B356&gt;'信用保険料計算書（上限2000万）'!$Q$16,0,1)))</f>
        <v>0</v>
      </c>
      <c r="Q356" s="209">
        <f>IF(P356=1,HLOOKUP(C356,'計算書（第7回）'!$C$123:$U$124,2,TRUE),0)</f>
        <v>0</v>
      </c>
      <c r="R356" s="213"/>
      <c r="S356" s="211">
        <f>COUNTIF($AB$13:$AB$19,"&lt;=2031/9/1")</f>
        <v>2</v>
      </c>
      <c r="T356" s="178">
        <f t="shared" si="40"/>
        <v>44743</v>
      </c>
      <c r="U356" s="181">
        <f t="shared" si="38"/>
        <v>0</v>
      </c>
      <c r="V356" s="182">
        <f t="shared" si="44"/>
        <v>0</v>
      </c>
      <c r="W356" s="245">
        <f t="shared" si="41"/>
        <v>0</v>
      </c>
      <c r="X356" s="183">
        <f>INT(SUM(W351:W356))</f>
        <v>0</v>
      </c>
    </row>
    <row r="357" spans="2:24">
      <c r="B357" s="214">
        <f t="shared" si="39"/>
        <v>51410</v>
      </c>
      <c r="C357" s="198">
        <f t="shared" si="37"/>
        <v>51380</v>
      </c>
      <c r="D357" s="209">
        <f>IF(B357&lt;'信用保険料計算書（上限2000万）'!$E$15,0,IF(B357&gt;'信用保険料計算書（上限2000万）'!$E$16,0,1))</f>
        <v>0</v>
      </c>
      <c r="E357" s="209">
        <f>IF(D357=1,HLOOKUP(C357,'計算書（第1回）'!$C$123:$U$124,2,TRUE),0)</f>
        <v>0</v>
      </c>
      <c r="F357" s="209">
        <f>IF('信用保険料計算書（上限2000万）'!$G$15="",0,IF($B357&lt;'信用保険料計算書（上限2000万）'!$G$15,0,IF($B357&gt;'信用保険料計算書（上限2000万）'!$G$16,0,1)))</f>
        <v>0</v>
      </c>
      <c r="G357" s="209">
        <f>IF(F357=1,HLOOKUP(C357,'計算書（第2回）'!$C$123:$U$124,2,TRUE),0)</f>
        <v>0</v>
      </c>
      <c r="H357" s="209">
        <f>IF('信用保険料計算書（上限2000万）'!$I$15="",0,IF($B357&lt;'信用保険料計算書（上限2000万）'!$I$15,0,IF($B357&gt;'信用保険料計算書（上限2000万）'!$I$16,0,1)))</f>
        <v>0</v>
      </c>
      <c r="I357" s="209">
        <f>IF(H357=1,HLOOKUP(C357,'計算書（第3回）'!$C$123:$U$124,2,TRUE),0)</f>
        <v>0</v>
      </c>
      <c r="J357" s="209">
        <f>IF('信用保険料計算書（上限2000万）'!$K$15="",0,IF($B357&lt;'信用保険料計算書（上限2000万）'!$K$15,0,IF($B357&gt;'信用保険料計算書（上限2000万）'!$K$16,0,1)))</f>
        <v>0</v>
      </c>
      <c r="K357" s="209">
        <f>IF(J357=1,HLOOKUP(C357,'計算書（第4回）'!$C$123:$U$124,2,TRUE),0)</f>
        <v>0</v>
      </c>
      <c r="L357" s="209">
        <f>IF('信用保険料計算書（上限2000万）'!$M$15="",0,IF($B357&lt;'信用保険料計算書（上限2000万）'!$M$15,0,IF($B357&gt;'信用保険料計算書（上限2000万）'!$M$16,0,1)))</f>
        <v>0</v>
      </c>
      <c r="M357" s="209">
        <f>IF(L357=1,HLOOKUP(C357,'計算書（第5回）'!$C$123:$U$124,2,TRUE),0)</f>
        <v>0</v>
      </c>
      <c r="N357" s="209">
        <f>IF('信用保険料計算書（上限2000万）'!$O$15="",0,IF($B357&lt;'信用保険料計算書（上限2000万）'!$O$15,0,IF($B357&gt;'信用保険料計算書（上限2000万）'!$O$16,0,1)))</f>
        <v>0</v>
      </c>
      <c r="O357" s="209">
        <f>IF(N357=1,HLOOKUP(C357,'計算書（第6回）'!$C$123:$U$124,2,TRUE),0)</f>
        <v>0</v>
      </c>
      <c r="P357" s="209">
        <f>IF('信用保険料計算書（上限2000万）'!$Q$15="",0,IF($B357&lt;'信用保険料計算書（上限2000万）'!$Q$15,0,IF($B357&gt;'信用保険料計算書（上限2000万）'!$Q$16,0,1)))</f>
        <v>0</v>
      </c>
      <c r="Q357" s="209">
        <f>IF(P357=1,HLOOKUP(C357,'計算書（第7回）'!$C$123:$U$124,2,TRUE),0)</f>
        <v>0</v>
      </c>
      <c r="R357" s="213"/>
      <c r="S357" s="211">
        <f>COUNTIF($AB$13:$AB$19,"&lt;=2031/10/1")</f>
        <v>2</v>
      </c>
      <c r="T357" s="178">
        <f t="shared" si="40"/>
        <v>44743</v>
      </c>
      <c r="U357" s="181">
        <f t="shared" si="38"/>
        <v>0</v>
      </c>
      <c r="V357" s="182">
        <f t="shared" si="44"/>
        <v>0</v>
      </c>
      <c r="W357" s="245">
        <f t="shared" si="41"/>
        <v>0</v>
      </c>
      <c r="X357" s="182"/>
    </row>
    <row r="358" spans="2:24">
      <c r="B358" s="214">
        <f t="shared" si="39"/>
        <v>51441</v>
      </c>
      <c r="C358" s="198">
        <f t="shared" si="37"/>
        <v>51410</v>
      </c>
      <c r="D358" s="209">
        <f>IF(B358&lt;'信用保険料計算書（上限2000万）'!$E$15,0,IF(B358&gt;'信用保険料計算書（上限2000万）'!$E$16,0,1))</f>
        <v>0</v>
      </c>
      <c r="E358" s="209">
        <f>IF(D358=1,HLOOKUP(C358,'計算書（第1回）'!$C$123:$U$124,2,TRUE),0)</f>
        <v>0</v>
      </c>
      <c r="F358" s="209">
        <f>IF('信用保険料計算書（上限2000万）'!$G$15="",0,IF($B358&lt;'信用保険料計算書（上限2000万）'!$G$15,0,IF($B358&gt;'信用保険料計算書（上限2000万）'!$G$16,0,1)))</f>
        <v>0</v>
      </c>
      <c r="G358" s="209">
        <f>IF(F358=1,HLOOKUP(C358,'計算書（第2回）'!$C$123:$U$124,2,TRUE),0)</f>
        <v>0</v>
      </c>
      <c r="H358" s="209">
        <f>IF('信用保険料計算書（上限2000万）'!$I$15="",0,IF($B358&lt;'信用保険料計算書（上限2000万）'!$I$15,0,IF($B358&gt;'信用保険料計算書（上限2000万）'!$I$16,0,1)))</f>
        <v>0</v>
      </c>
      <c r="I358" s="209">
        <f>IF(H358=1,HLOOKUP(C358,'計算書（第3回）'!$C$123:$U$124,2,TRUE),0)</f>
        <v>0</v>
      </c>
      <c r="J358" s="209">
        <f>IF('信用保険料計算書（上限2000万）'!$K$15="",0,IF($B358&lt;'信用保険料計算書（上限2000万）'!$K$15,0,IF($B358&gt;'信用保険料計算書（上限2000万）'!$K$16,0,1)))</f>
        <v>0</v>
      </c>
      <c r="K358" s="209">
        <f>IF(J358=1,HLOOKUP(C358,'計算書（第4回）'!$C$123:$U$124,2,TRUE),0)</f>
        <v>0</v>
      </c>
      <c r="L358" s="209">
        <f>IF('信用保険料計算書（上限2000万）'!$M$15="",0,IF($B358&lt;'信用保険料計算書（上限2000万）'!$M$15,0,IF($B358&gt;'信用保険料計算書（上限2000万）'!$M$16,0,1)))</f>
        <v>0</v>
      </c>
      <c r="M358" s="209">
        <f>IF(L358=1,HLOOKUP(C358,'計算書（第5回）'!$C$123:$U$124,2,TRUE),0)</f>
        <v>0</v>
      </c>
      <c r="N358" s="209">
        <f>IF('信用保険料計算書（上限2000万）'!$O$15="",0,IF($B358&lt;'信用保険料計算書（上限2000万）'!$O$15,0,IF($B358&gt;'信用保険料計算書（上限2000万）'!$O$16,0,1)))</f>
        <v>0</v>
      </c>
      <c r="O358" s="209">
        <f>IF(N358=1,HLOOKUP(C358,'計算書（第6回）'!$C$123:$U$124,2,TRUE),0)</f>
        <v>0</v>
      </c>
      <c r="P358" s="209">
        <f>IF('信用保険料計算書（上限2000万）'!$Q$15="",0,IF($B358&lt;'信用保険料計算書（上限2000万）'!$Q$15,0,IF($B358&gt;'信用保険料計算書（上限2000万）'!$Q$16,0,1)))</f>
        <v>0</v>
      </c>
      <c r="Q358" s="209">
        <f>IF(P358=1,HLOOKUP(C358,'計算書（第7回）'!$C$123:$U$124,2,TRUE),0)</f>
        <v>0</v>
      </c>
      <c r="R358" s="213"/>
      <c r="S358" s="211">
        <f>COUNTIF($AB$13:$AB$19,"&lt;=2031/11/1")</f>
        <v>2</v>
      </c>
      <c r="T358" s="178">
        <f t="shared" si="40"/>
        <v>44743</v>
      </c>
      <c r="U358" s="181">
        <f t="shared" si="38"/>
        <v>0</v>
      </c>
      <c r="V358" s="182">
        <f t="shared" si="44"/>
        <v>0</v>
      </c>
      <c r="W358" s="245">
        <f t="shared" si="41"/>
        <v>0</v>
      </c>
      <c r="X358" s="182"/>
    </row>
    <row r="359" spans="2:24">
      <c r="B359" s="214">
        <f t="shared" si="39"/>
        <v>51471</v>
      </c>
      <c r="C359" s="198">
        <f t="shared" si="37"/>
        <v>51441</v>
      </c>
      <c r="D359" s="209">
        <f>IF(B359&lt;'信用保険料計算書（上限2000万）'!$E$15,0,IF(B359&gt;'信用保険料計算書（上限2000万）'!$E$16,0,1))</f>
        <v>0</v>
      </c>
      <c r="E359" s="209">
        <f>IF(D359=1,HLOOKUP(C359,'計算書（第1回）'!$C$123:$U$124,2,TRUE),0)</f>
        <v>0</v>
      </c>
      <c r="F359" s="209">
        <f>IF('信用保険料計算書（上限2000万）'!$G$15="",0,IF($B359&lt;'信用保険料計算書（上限2000万）'!$G$15,0,IF($B359&gt;'信用保険料計算書（上限2000万）'!$G$16,0,1)))</f>
        <v>0</v>
      </c>
      <c r="G359" s="209">
        <f>IF(F359=1,HLOOKUP(C359,'計算書（第2回）'!$C$123:$U$124,2,TRUE),0)</f>
        <v>0</v>
      </c>
      <c r="H359" s="209">
        <f>IF('信用保険料計算書（上限2000万）'!$I$15="",0,IF($B359&lt;'信用保険料計算書（上限2000万）'!$I$15,0,IF($B359&gt;'信用保険料計算書（上限2000万）'!$I$16,0,1)))</f>
        <v>0</v>
      </c>
      <c r="I359" s="209">
        <f>IF(H359=1,HLOOKUP(C359,'計算書（第3回）'!$C$123:$U$124,2,TRUE),0)</f>
        <v>0</v>
      </c>
      <c r="J359" s="209">
        <f>IF('信用保険料計算書（上限2000万）'!$K$15="",0,IF($B359&lt;'信用保険料計算書（上限2000万）'!$K$15,0,IF($B359&gt;'信用保険料計算書（上限2000万）'!$K$16,0,1)))</f>
        <v>0</v>
      </c>
      <c r="K359" s="209">
        <f>IF(J359=1,HLOOKUP(C359,'計算書（第4回）'!$C$123:$U$124,2,TRUE),0)</f>
        <v>0</v>
      </c>
      <c r="L359" s="209">
        <f>IF('信用保険料計算書（上限2000万）'!$M$15="",0,IF($B359&lt;'信用保険料計算書（上限2000万）'!$M$15,0,IF($B359&gt;'信用保険料計算書（上限2000万）'!$M$16,0,1)))</f>
        <v>0</v>
      </c>
      <c r="M359" s="209">
        <f>IF(L359=1,HLOOKUP(C359,'計算書（第5回）'!$C$123:$U$124,2,TRUE),0)</f>
        <v>0</v>
      </c>
      <c r="N359" s="209">
        <f>IF('信用保険料計算書（上限2000万）'!$O$15="",0,IF($B359&lt;'信用保険料計算書（上限2000万）'!$O$15,0,IF($B359&gt;'信用保険料計算書（上限2000万）'!$O$16,0,1)))</f>
        <v>0</v>
      </c>
      <c r="O359" s="209">
        <f>IF(N359=1,HLOOKUP(C359,'計算書（第6回）'!$C$123:$U$124,2,TRUE),0)</f>
        <v>0</v>
      </c>
      <c r="P359" s="209">
        <f>IF('信用保険料計算書（上限2000万）'!$Q$15="",0,IF($B359&lt;'信用保険料計算書（上限2000万）'!$Q$15,0,IF($B359&gt;'信用保険料計算書（上限2000万）'!$Q$16,0,1)))</f>
        <v>0</v>
      </c>
      <c r="Q359" s="209">
        <f>IF(P359=1,HLOOKUP(C359,'計算書（第7回）'!$C$123:$U$124,2,TRUE),0)</f>
        <v>0</v>
      </c>
      <c r="R359" s="213"/>
      <c r="S359" s="211">
        <f>COUNTIF($AB$13:$AB$19,"&lt;=2031/12/1")</f>
        <v>2</v>
      </c>
      <c r="T359" s="178">
        <f t="shared" si="40"/>
        <v>44743</v>
      </c>
      <c r="U359" s="181">
        <f t="shared" si="38"/>
        <v>0</v>
      </c>
      <c r="V359" s="182">
        <f t="shared" si="44"/>
        <v>0</v>
      </c>
      <c r="W359" s="245">
        <f t="shared" si="41"/>
        <v>0</v>
      </c>
      <c r="X359" s="182"/>
    </row>
    <row r="360" spans="2:24">
      <c r="B360" s="214">
        <f t="shared" si="39"/>
        <v>51502</v>
      </c>
      <c r="C360" s="198">
        <f t="shared" si="37"/>
        <v>51471</v>
      </c>
      <c r="D360" s="209">
        <f>IF(B360&lt;'信用保険料計算書（上限2000万）'!$E$15,0,IF(B360&gt;'信用保険料計算書（上限2000万）'!$E$16,0,1))</f>
        <v>0</v>
      </c>
      <c r="E360" s="209">
        <f>IF(D360=1,HLOOKUP(C360,'計算書（第1回）'!$C$123:$U$124,2,TRUE),0)</f>
        <v>0</v>
      </c>
      <c r="F360" s="209">
        <f>IF('信用保険料計算書（上限2000万）'!$G$15="",0,IF($B360&lt;'信用保険料計算書（上限2000万）'!$G$15,0,IF($B360&gt;'信用保険料計算書（上限2000万）'!$G$16,0,1)))</f>
        <v>0</v>
      </c>
      <c r="G360" s="209">
        <f>IF(F360=1,HLOOKUP(C360,'計算書（第2回）'!$C$123:$U$124,2,TRUE),0)</f>
        <v>0</v>
      </c>
      <c r="H360" s="209">
        <f>IF('信用保険料計算書（上限2000万）'!$I$15="",0,IF($B360&lt;'信用保険料計算書（上限2000万）'!$I$15,0,IF($B360&gt;'信用保険料計算書（上限2000万）'!$I$16,0,1)))</f>
        <v>0</v>
      </c>
      <c r="I360" s="209">
        <f>IF(H360=1,HLOOKUP(C360,'計算書（第3回）'!$C$123:$U$124,2,TRUE),0)</f>
        <v>0</v>
      </c>
      <c r="J360" s="209">
        <f>IF('信用保険料計算書（上限2000万）'!$K$15="",0,IF($B360&lt;'信用保険料計算書（上限2000万）'!$K$15,0,IF($B360&gt;'信用保険料計算書（上限2000万）'!$K$16,0,1)))</f>
        <v>0</v>
      </c>
      <c r="K360" s="209">
        <f>IF(J360=1,HLOOKUP(C360,'計算書（第4回）'!$C$123:$U$124,2,TRUE),0)</f>
        <v>0</v>
      </c>
      <c r="L360" s="209">
        <f>IF('信用保険料計算書（上限2000万）'!$M$15="",0,IF($B360&lt;'信用保険料計算書（上限2000万）'!$M$15,0,IF($B360&gt;'信用保険料計算書（上限2000万）'!$M$16,0,1)))</f>
        <v>0</v>
      </c>
      <c r="M360" s="209">
        <f>IF(L360=1,HLOOKUP(C360,'計算書（第5回）'!$C$123:$U$124,2,TRUE),0)</f>
        <v>0</v>
      </c>
      <c r="N360" s="209">
        <f>IF('信用保険料計算書（上限2000万）'!$O$15="",0,IF($B360&lt;'信用保険料計算書（上限2000万）'!$O$15,0,IF($B360&gt;'信用保険料計算書（上限2000万）'!$O$16,0,1)))</f>
        <v>0</v>
      </c>
      <c r="O360" s="209">
        <f>IF(N360=1,HLOOKUP(C360,'計算書（第6回）'!$C$123:$U$124,2,TRUE),0)</f>
        <v>0</v>
      </c>
      <c r="P360" s="209">
        <f>IF('信用保険料計算書（上限2000万）'!$Q$15="",0,IF($B360&lt;'信用保険料計算書（上限2000万）'!$Q$15,0,IF($B360&gt;'信用保険料計算書（上限2000万）'!$Q$16,0,1)))</f>
        <v>0</v>
      </c>
      <c r="Q360" s="209">
        <f>IF(P360=1,HLOOKUP(C360,'計算書（第7回）'!$C$123:$U$124,2,TRUE),0)</f>
        <v>0</v>
      </c>
      <c r="R360" s="212"/>
      <c r="S360" s="211">
        <f>COUNTIF($AB$13:$AB$19,"&lt;=2032/1/1")</f>
        <v>2</v>
      </c>
      <c r="T360" s="178">
        <f t="shared" si="40"/>
        <v>44743</v>
      </c>
      <c r="U360" s="181">
        <f t="shared" si="38"/>
        <v>0</v>
      </c>
      <c r="V360" s="182">
        <f t="shared" si="44"/>
        <v>0</v>
      </c>
      <c r="W360" s="245">
        <f t="shared" si="41"/>
        <v>0</v>
      </c>
      <c r="X360" s="182"/>
    </row>
    <row r="361" spans="2:24">
      <c r="B361" s="214">
        <f t="shared" si="39"/>
        <v>51533</v>
      </c>
      <c r="C361" s="198">
        <f t="shared" si="37"/>
        <v>51502</v>
      </c>
      <c r="D361" s="209">
        <f>IF(B361&lt;'信用保険料計算書（上限2000万）'!$E$15,0,IF(B361&gt;'信用保険料計算書（上限2000万）'!$E$16,0,1))</f>
        <v>0</v>
      </c>
      <c r="E361" s="209">
        <f>IF(D361=1,HLOOKUP(C361,'計算書（第1回）'!$C$123:$U$124,2,TRUE),0)</f>
        <v>0</v>
      </c>
      <c r="F361" s="209">
        <f>IF('信用保険料計算書（上限2000万）'!$G$15="",0,IF($B361&lt;'信用保険料計算書（上限2000万）'!$G$15,0,IF($B361&gt;'信用保険料計算書（上限2000万）'!$G$16,0,1)))</f>
        <v>0</v>
      </c>
      <c r="G361" s="209">
        <f>IF(F361=1,HLOOKUP(C361,'計算書（第2回）'!$C$123:$U$124,2,TRUE),0)</f>
        <v>0</v>
      </c>
      <c r="H361" s="209">
        <f>IF('信用保険料計算書（上限2000万）'!$I$15="",0,IF($B361&lt;'信用保険料計算書（上限2000万）'!$I$15,0,IF($B361&gt;'信用保険料計算書（上限2000万）'!$I$16,0,1)))</f>
        <v>0</v>
      </c>
      <c r="I361" s="209">
        <f>IF(H361=1,HLOOKUP(C361,'計算書（第3回）'!$C$123:$U$124,2,TRUE),0)</f>
        <v>0</v>
      </c>
      <c r="J361" s="209">
        <f>IF('信用保険料計算書（上限2000万）'!$K$15="",0,IF($B361&lt;'信用保険料計算書（上限2000万）'!$K$15,0,IF($B361&gt;'信用保険料計算書（上限2000万）'!$K$16,0,1)))</f>
        <v>0</v>
      </c>
      <c r="K361" s="209">
        <f>IF(J361=1,HLOOKUP(C361,'計算書（第4回）'!$C$123:$U$124,2,TRUE),0)</f>
        <v>0</v>
      </c>
      <c r="L361" s="209">
        <f>IF('信用保険料計算書（上限2000万）'!$M$15="",0,IF($B361&lt;'信用保険料計算書（上限2000万）'!$M$15,0,IF($B361&gt;'信用保険料計算書（上限2000万）'!$M$16,0,1)))</f>
        <v>0</v>
      </c>
      <c r="M361" s="209">
        <f>IF(L361=1,HLOOKUP(C361,'計算書（第5回）'!$C$123:$U$124,2,TRUE),0)</f>
        <v>0</v>
      </c>
      <c r="N361" s="209">
        <f>IF('信用保険料計算書（上限2000万）'!$O$15="",0,IF($B361&lt;'信用保険料計算書（上限2000万）'!$O$15,0,IF($B361&gt;'信用保険料計算書（上限2000万）'!$O$16,0,1)))</f>
        <v>0</v>
      </c>
      <c r="O361" s="209">
        <f>IF(N361=1,HLOOKUP(C361,'計算書（第6回）'!$C$123:$U$124,2,TRUE),0)</f>
        <v>0</v>
      </c>
      <c r="P361" s="209">
        <f>IF('信用保険料計算書（上限2000万）'!$Q$15="",0,IF($B361&lt;'信用保険料計算書（上限2000万）'!$Q$15,0,IF($B361&gt;'信用保険料計算書（上限2000万）'!$Q$16,0,1)))</f>
        <v>0</v>
      </c>
      <c r="Q361" s="209">
        <f>IF(P361=1,HLOOKUP(C361,'計算書（第7回）'!$C$123:$U$124,2,TRUE),0)</f>
        <v>0</v>
      </c>
      <c r="R361" s="212"/>
      <c r="S361" s="211">
        <f>COUNTIF($AB$13:$AB$19,"&lt;=2032/2/1")</f>
        <v>2</v>
      </c>
      <c r="T361" s="178">
        <f t="shared" si="40"/>
        <v>44743</v>
      </c>
      <c r="U361" s="181">
        <f t="shared" si="38"/>
        <v>0</v>
      </c>
      <c r="V361" s="182">
        <f t="shared" si="44"/>
        <v>0</v>
      </c>
      <c r="W361" s="245">
        <f t="shared" si="41"/>
        <v>0</v>
      </c>
      <c r="X361" s="182"/>
    </row>
    <row r="362" spans="2:24">
      <c r="B362" s="214">
        <f t="shared" si="39"/>
        <v>51561</v>
      </c>
      <c r="C362" s="198">
        <f t="shared" si="37"/>
        <v>51533</v>
      </c>
      <c r="D362" s="209">
        <f>IF(B362&lt;'信用保険料計算書（上限2000万）'!$E$15,0,IF(B362&gt;'信用保険料計算書（上限2000万）'!$E$16,0,1))</f>
        <v>0</v>
      </c>
      <c r="E362" s="209">
        <f>IF(D362=1,HLOOKUP(C362,'計算書（第1回）'!$C$123:$U$124,2,TRUE),0)</f>
        <v>0</v>
      </c>
      <c r="F362" s="209">
        <f>IF('信用保険料計算書（上限2000万）'!$G$15="",0,IF($B362&lt;'信用保険料計算書（上限2000万）'!$G$15,0,IF($B362&gt;'信用保険料計算書（上限2000万）'!$G$16,0,1)))</f>
        <v>0</v>
      </c>
      <c r="G362" s="209">
        <f>IF(F362=1,HLOOKUP(C362,'計算書（第2回）'!$C$123:$U$124,2,TRUE),0)</f>
        <v>0</v>
      </c>
      <c r="H362" s="209">
        <f>IF('信用保険料計算書（上限2000万）'!$I$15="",0,IF($B362&lt;'信用保険料計算書（上限2000万）'!$I$15,0,IF($B362&gt;'信用保険料計算書（上限2000万）'!$I$16,0,1)))</f>
        <v>0</v>
      </c>
      <c r="I362" s="209">
        <f>IF(H362=1,HLOOKUP(C362,'計算書（第3回）'!$C$123:$U$124,2,TRUE),0)</f>
        <v>0</v>
      </c>
      <c r="J362" s="209">
        <f>IF('信用保険料計算書（上限2000万）'!$K$15="",0,IF($B362&lt;'信用保険料計算書（上限2000万）'!$K$15,0,IF($B362&gt;'信用保険料計算書（上限2000万）'!$K$16,0,1)))</f>
        <v>0</v>
      </c>
      <c r="K362" s="209">
        <f>IF(J362=1,HLOOKUP(C362,'計算書（第4回）'!$C$123:$U$124,2,TRUE),0)</f>
        <v>0</v>
      </c>
      <c r="L362" s="209">
        <f>IF('信用保険料計算書（上限2000万）'!$M$15="",0,IF($B362&lt;'信用保険料計算書（上限2000万）'!$M$15,0,IF($B362&gt;'信用保険料計算書（上限2000万）'!$M$16,0,1)))</f>
        <v>0</v>
      </c>
      <c r="M362" s="209">
        <f>IF(L362=1,HLOOKUP(C362,'計算書（第5回）'!$C$123:$U$124,2,TRUE),0)</f>
        <v>0</v>
      </c>
      <c r="N362" s="209">
        <f>IF('信用保険料計算書（上限2000万）'!$O$15="",0,IF($B362&lt;'信用保険料計算書（上限2000万）'!$O$15,0,IF($B362&gt;'信用保険料計算書（上限2000万）'!$O$16,0,1)))</f>
        <v>0</v>
      </c>
      <c r="O362" s="209">
        <f>IF(N362=1,HLOOKUP(C362,'計算書（第6回）'!$C$123:$U$124,2,TRUE),0)</f>
        <v>0</v>
      </c>
      <c r="P362" s="209">
        <f>IF('信用保険料計算書（上限2000万）'!$Q$15="",0,IF($B362&lt;'信用保険料計算書（上限2000万）'!$Q$15,0,IF($B362&gt;'信用保険料計算書（上限2000万）'!$Q$16,0,1)))</f>
        <v>0</v>
      </c>
      <c r="Q362" s="209">
        <f>IF(P362=1,HLOOKUP(C362,'計算書（第7回）'!$C$123:$U$124,2,TRUE),0)</f>
        <v>0</v>
      </c>
      <c r="R362" s="212"/>
      <c r="S362" s="211">
        <f>COUNTIF($AB$13:$AB$19,"&lt;=2032/3/1")</f>
        <v>2</v>
      </c>
      <c r="T362" s="178">
        <f t="shared" si="40"/>
        <v>44743</v>
      </c>
      <c r="U362" s="181">
        <f t="shared" si="38"/>
        <v>0</v>
      </c>
      <c r="V362" s="182">
        <f t="shared" si="44"/>
        <v>0</v>
      </c>
      <c r="W362" s="245">
        <f t="shared" si="41"/>
        <v>0</v>
      </c>
      <c r="X362" s="183">
        <f>INT(SUM(W357:W362))</f>
        <v>0</v>
      </c>
    </row>
    <row r="363" spans="2:24">
      <c r="B363" s="214">
        <f t="shared" si="39"/>
        <v>51592</v>
      </c>
      <c r="C363" s="198">
        <f t="shared" si="37"/>
        <v>51561</v>
      </c>
      <c r="D363" s="209">
        <f>IF(B363&lt;'信用保険料計算書（上限2000万）'!$E$15,0,IF(B363&gt;'信用保険料計算書（上限2000万）'!$E$16,0,1))</f>
        <v>0</v>
      </c>
      <c r="E363" s="209">
        <f>IF(D363=1,HLOOKUP(C363,'計算書（第1回）'!$C$123:$U$124,2,TRUE),0)</f>
        <v>0</v>
      </c>
      <c r="F363" s="209">
        <f>IF('信用保険料計算書（上限2000万）'!$G$15="",0,IF($B363&lt;'信用保険料計算書（上限2000万）'!$G$15,0,IF($B363&gt;'信用保険料計算書（上限2000万）'!$G$16,0,1)))</f>
        <v>0</v>
      </c>
      <c r="G363" s="209">
        <f>IF(F363=1,HLOOKUP(C363,'計算書（第2回）'!$C$123:$U$124,2,TRUE),0)</f>
        <v>0</v>
      </c>
      <c r="H363" s="209">
        <f>IF('信用保険料計算書（上限2000万）'!$I$15="",0,IF($B363&lt;'信用保険料計算書（上限2000万）'!$I$15,0,IF($B363&gt;'信用保険料計算書（上限2000万）'!$I$16,0,1)))</f>
        <v>0</v>
      </c>
      <c r="I363" s="209">
        <f>IF(H363=1,HLOOKUP(C363,'計算書（第3回）'!$C$123:$U$124,2,TRUE),0)</f>
        <v>0</v>
      </c>
      <c r="J363" s="209">
        <f>IF('信用保険料計算書（上限2000万）'!$K$15="",0,IF($B363&lt;'信用保険料計算書（上限2000万）'!$K$15,0,IF($B363&gt;'信用保険料計算書（上限2000万）'!$K$16,0,1)))</f>
        <v>0</v>
      </c>
      <c r="K363" s="209">
        <f>IF(J363=1,HLOOKUP(C363,'計算書（第4回）'!$C$123:$U$124,2,TRUE),0)</f>
        <v>0</v>
      </c>
      <c r="L363" s="209">
        <f>IF('信用保険料計算書（上限2000万）'!$M$15="",0,IF($B363&lt;'信用保険料計算書（上限2000万）'!$M$15,0,IF($B363&gt;'信用保険料計算書（上限2000万）'!$M$16,0,1)))</f>
        <v>0</v>
      </c>
      <c r="M363" s="209">
        <f>IF(L363=1,HLOOKUP(C363,'計算書（第5回）'!$C$123:$U$124,2,TRUE),0)</f>
        <v>0</v>
      </c>
      <c r="N363" s="209">
        <f>IF('信用保険料計算書（上限2000万）'!$O$15="",0,IF($B363&lt;'信用保険料計算書（上限2000万）'!$O$15,0,IF($B363&gt;'信用保険料計算書（上限2000万）'!$O$16,0,1)))</f>
        <v>0</v>
      </c>
      <c r="O363" s="209">
        <f>IF(N363=1,HLOOKUP(C363,'計算書（第6回）'!$C$123:$U$124,2,TRUE),0)</f>
        <v>0</v>
      </c>
      <c r="P363" s="209">
        <f>IF('信用保険料計算書（上限2000万）'!$Q$15="",0,IF($B363&lt;'信用保険料計算書（上限2000万）'!$Q$15,0,IF($B363&gt;'信用保険料計算書（上限2000万）'!$Q$16,0,1)))</f>
        <v>0</v>
      </c>
      <c r="Q363" s="209">
        <f>IF(P363=1,HLOOKUP(C363,'計算書（第7回）'!$C$123:$U$124,2,TRUE),0)</f>
        <v>0</v>
      </c>
      <c r="R363" s="213"/>
      <c r="S363" s="211">
        <f>COUNTIF($AB$13:$AB$19,"&lt;=2031/4/1")</f>
        <v>2</v>
      </c>
      <c r="T363" s="178">
        <f t="shared" si="40"/>
        <v>44743</v>
      </c>
      <c r="U363" s="181">
        <f t="shared" si="38"/>
        <v>0</v>
      </c>
      <c r="V363" s="182">
        <f t="shared" ref="V363:V374" si="45">IF(U363=0,0,IF(U363&gt;VLOOKUP(T363,$AA$5:$AB$8,2,TRUE),VLOOKUP(T363,$AA$5:$AB$8,2,TRUE),U363))</f>
        <v>0</v>
      </c>
      <c r="W363" s="245">
        <f t="shared" si="41"/>
        <v>0</v>
      </c>
      <c r="X363" s="182"/>
    </row>
    <row r="364" spans="2:24">
      <c r="B364" s="214">
        <f t="shared" si="39"/>
        <v>51622</v>
      </c>
      <c r="C364" s="198">
        <f t="shared" si="37"/>
        <v>51592</v>
      </c>
      <c r="D364" s="209">
        <f>IF(B364&lt;'信用保険料計算書（上限2000万）'!$E$15,0,IF(B364&gt;'信用保険料計算書（上限2000万）'!$E$16,0,1))</f>
        <v>0</v>
      </c>
      <c r="E364" s="209">
        <f>IF(D364=1,HLOOKUP(C364,'計算書（第1回）'!$C$123:$U$124,2,TRUE),0)</f>
        <v>0</v>
      </c>
      <c r="F364" s="209">
        <f>IF('信用保険料計算書（上限2000万）'!$G$15="",0,IF($B364&lt;'信用保険料計算書（上限2000万）'!$G$15,0,IF($B364&gt;'信用保険料計算書（上限2000万）'!$G$16,0,1)))</f>
        <v>0</v>
      </c>
      <c r="G364" s="209">
        <f>IF(F364=1,HLOOKUP(C364,'計算書（第2回）'!$C$123:$U$124,2,TRUE),0)</f>
        <v>0</v>
      </c>
      <c r="H364" s="209">
        <f>IF('信用保険料計算書（上限2000万）'!$I$15="",0,IF($B364&lt;'信用保険料計算書（上限2000万）'!$I$15,0,IF($B364&gt;'信用保険料計算書（上限2000万）'!$I$16,0,1)))</f>
        <v>0</v>
      </c>
      <c r="I364" s="209">
        <f>IF(H364=1,HLOOKUP(C364,'計算書（第3回）'!$C$123:$U$124,2,TRUE),0)</f>
        <v>0</v>
      </c>
      <c r="J364" s="209">
        <f>IF('信用保険料計算書（上限2000万）'!$K$15="",0,IF($B364&lt;'信用保険料計算書（上限2000万）'!$K$15,0,IF($B364&gt;'信用保険料計算書（上限2000万）'!$K$16,0,1)))</f>
        <v>0</v>
      </c>
      <c r="K364" s="209">
        <f>IF(J364=1,HLOOKUP(C364,'計算書（第4回）'!$C$123:$U$124,2,TRUE),0)</f>
        <v>0</v>
      </c>
      <c r="L364" s="209">
        <f>IF('信用保険料計算書（上限2000万）'!$M$15="",0,IF($B364&lt;'信用保険料計算書（上限2000万）'!$M$15,0,IF($B364&gt;'信用保険料計算書（上限2000万）'!$M$16,0,1)))</f>
        <v>0</v>
      </c>
      <c r="M364" s="209">
        <f>IF(L364=1,HLOOKUP(C364,'計算書（第5回）'!$C$123:$U$124,2,TRUE),0)</f>
        <v>0</v>
      </c>
      <c r="N364" s="209">
        <f>IF('信用保険料計算書（上限2000万）'!$O$15="",0,IF($B364&lt;'信用保険料計算書（上限2000万）'!$O$15,0,IF($B364&gt;'信用保険料計算書（上限2000万）'!$O$16,0,1)))</f>
        <v>0</v>
      </c>
      <c r="O364" s="209">
        <f>IF(N364=1,HLOOKUP(C364,'計算書（第6回）'!$C$123:$U$124,2,TRUE),0)</f>
        <v>0</v>
      </c>
      <c r="P364" s="209">
        <f>IF('信用保険料計算書（上限2000万）'!$Q$15="",0,IF($B364&lt;'信用保険料計算書（上限2000万）'!$Q$15,0,IF($B364&gt;'信用保険料計算書（上限2000万）'!$Q$16,0,1)))</f>
        <v>0</v>
      </c>
      <c r="Q364" s="209">
        <f>IF(P364=1,HLOOKUP(C364,'計算書（第7回）'!$C$123:$U$124,2,TRUE),0)</f>
        <v>0</v>
      </c>
      <c r="R364" s="213"/>
      <c r="S364" s="211">
        <f>COUNTIF($AB$13:$AB$19,"&lt;=2031/5/1")</f>
        <v>2</v>
      </c>
      <c r="T364" s="178">
        <f t="shared" si="40"/>
        <v>44743</v>
      </c>
      <c r="U364" s="181">
        <f t="shared" si="38"/>
        <v>0</v>
      </c>
      <c r="V364" s="182">
        <f t="shared" si="45"/>
        <v>0</v>
      </c>
      <c r="W364" s="245">
        <f t="shared" si="41"/>
        <v>0</v>
      </c>
      <c r="X364" s="182"/>
    </row>
    <row r="365" spans="2:24">
      <c r="B365" s="214">
        <f t="shared" si="39"/>
        <v>51653</v>
      </c>
      <c r="C365" s="198">
        <f t="shared" si="37"/>
        <v>51622</v>
      </c>
      <c r="D365" s="209">
        <f>IF(B365&lt;'信用保険料計算書（上限2000万）'!$E$15,0,IF(B365&gt;'信用保険料計算書（上限2000万）'!$E$16,0,1))</f>
        <v>0</v>
      </c>
      <c r="E365" s="209">
        <f>IF(D365=1,HLOOKUP(C365,'計算書（第1回）'!$C$123:$U$124,2,TRUE),0)</f>
        <v>0</v>
      </c>
      <c r="F365" s="209">
        <f>IF('信用保険料計算書（上限2000万）'!$G$15="",0,IF($B365&lt;'信用保険料計算書（上限2000万）'!$G$15,0,IF($B365&gt;'信用保険料計算書（上限2000万）'!$G$16,0,1)))</f>
        <v>0</v>
      </c>
      <c r="G365" s="209">
        <f>IF(F365=1,HLOOKUP(C365,'計算書（第2回）'!$C$123:$U$124,2,TRUE),0)</f>
        <v>0</v>
      </c>
      <c r="H365" s="209">
        <f>IF('信用保険料計算書（上限2000万）'!$I$15="",0,IF($B365&lt;'信用保険料計算書（上限2000万）'!$I$15,0,IF($B365&gt;'信用保険料計算書（上限2000万）'!$I$16,0,1)))</f>
        <v>0</v>
      </c>
      <c r="I365" s="209">
        <f>IF(H365=1,HLOOKUP(C365,'計算書（第3回）'!$C$123:$U$124,2,TRUE),0)</f>
        <v>0</v>
      </c>
      <c r="J365" s="209">
        <f>IF('信用保険料計算書（上限2000万）'!$K$15="",0,IF($B365&lt;'信用保険料計算書（上限2000万）'!$K$15,0,IF($B365&gt;'信用保険料計算書（上限2000万）'!$K$16,0,1)))</f>
        <v>0</v>
      </c>
      <c r="K365" s="209">
        <f>IF(J365=1,HLOOKUP(C365,'計算書（第4回）'!$C$123:$U$124,2,TRUE),0)</f>
        <v>0</v>
      </c>
      <c r="L365" s="209">
        <f>IF('信用保険料計算書（上限2000万）'!$M$15="",0,IF($B365&lt;'信用保険料計算書（上限2000万）'!$M$15,0,IF($B365&gt;'信用保険料計算書（上限2000万）'!$M$16,0,1)))</f>
        <v>0</v>
      </c>
      <c r="M365" s="209">
        <f>IF(L365=1,HLOOKUP(C365,'計算書（第5回）'!$C$123:$U$124,2,TRUE),0)</f>
        <v>0</v>
      </c>
      <c r="N365" s="209">
        <f>IF('信用保険料計算書（上限2000万）'!$O$15="",0,IF($B365&lt;'信用保険料計算書（上限2000万）'!$O$15,0,IF($B365&gt;'信用保険料計算書（上限2000万）'!$O$16,0,1)))</f>
        <v>0</v>
      </c>
      <c r="O365" s="209">
        <f>IF(N365=1,HLOOKUP(C365,'計算書（第6回）'!$C$123:$U$124,2,TRUE),0)</f>
        <v>0</v>
      </c>
      <c r="P365" s="209">
        <f>IF('信用保険料計算書（上限2000万）'!$Q$15="",0,IF($B365&lt;'信用保険料計算書（上限2000万）'!$Q$15,0,IF($B365&gt;'信用保険料計算書（上限2000万）'!$Q$16,0,1)))</f>
        <v>0</v>
      </c>
      <c r="Q365" s="209">
        <f>IF(P365=1,HLOOKUP(C365,'計算書（第7回）'!$C$123:$U$124,2,TRUE),0)</f>
        <v>0</v>
      </c>
      <c r="R365" s="213"/>
      <c r="S365" s="211">
        <f>COUNTIF($AB$13:$AB$19,"&lt;=2031/6/1")</f>
        <v>2</v>
      </c>
      <c r="T365" s="178">
        <f t="shared" si="40"/>
        <v>44743</v>
      </c>
      <c r="U365" s="181">
        <f t="shared" si="38"/>
        <v>0</v>
      </c>
      <c r="V365" s="182">
        <f t="shared" si="45"/>
        <v>0</v>
      </c>
      <c r="W365" s="245">
        <f t="shared" si="41"/>
        <v>0</v>
      </c>
      <c r="X365" s="182"/>
    </row>
    <row r="366" spans="2:24">
      <c r="B366" s="214">
        <f t="shared" si="39"/>
        <v>51683</v>
      </c>
      <c r="C366" s="198">
        <f t="shared" si="37"/>
        <v>51653</v>
      </c>
      <c r="D366" s="209">
        <f>IF(B366&lt;'信用保険料計算書（上限2000万）'!$E$15,0,IF(B366&gt;'信用保険料計算書（上限2000万）'!$E$16,0,1))</f>
        <v>0</v>
      </c>
      <c r="E366" s="209">
        <f>IF(D366=1,HLOOKUP(C366,'計算書（第1回）'!$C$123:$U$124,2,TRUE),0)</f>
        <v>0</v>
      </c>
      <c r="F366" s="209">
        <f>IF('信用保険料計算書（上限2000万）'!$G$15="",0,IF($B366&lt;'信用保険料計算書（上限2000万）'!$G$15,0,IF($B366&gt;'信用保険料計算書（上限2000万）'!$G$16,0,1)))</f>
        <v>0</v>
      </c>
      <c r="G366" s="209">
        <f>IF(F366=1,HLOOKUP(C366,'計算書（第2回）'!$C$123:$U$124,2,TRUE),0)</f>
        <v>0</v>
      </c>
      <c r="H366" s="209">
        <f>IF('信用保険料計算書（上限2000万）'!$I$15="",0,IF($B366&lt;'信用保険料計算書（上限2000万）'!$I$15,0,IF($B366&gt;'信用保険料計算書（上限2000万）'!$I$16,0,1)))</f>
        <v>0</v>
      </c>
      <c r="I366" s="209">
        <f>IF(H366=1,HLOOKUP(C366,'計算書（第3回）'!$C$123:$U$124,2,TRUE),0)</f>
        <v>0</v>
      </c>
      <c r="J366" s="209">
        <f>IF('信用保険料計算書（上限2000万）'!$K$15="",0,IF($B366&lt;'信用保険料計算書（上限2000万）'!$K$15,0,IF($B366&gt;'信用保険料計算書（上限2000万）'!$K$16,0,1)))</f>
        <v>0</v>
      </c>
      <c r="K366" s="209">
        <f>IF(J366=1,HLOOKUP(C366,'計算書（第4回）'!$C$123:$U$124,2,TRUE),0)</f>
        <v>0</v>
      </c>
      <c r="L366" s="209">
        <f>IF('信用保険料計算書（上限2000万）'!$M$15="",0,IF($B366&lt;'信用保険料計算書（上限2000万）'!$M$15,0,IF($B366&gt;'信用保険料計算書（上限2000万）'!$M$16,0,1)))</f>
        <v>0</v>
      </c>
      <c r="M366" s="209">
        <f>IF(L366=1,HLOOKUP(C366,'計算書（第5回）'!$C$123:$U$124,2,TRUE),0)</f>
        <v>0</v>
      </c>
      <c r="N366" s="209">
        <f>IF('信用保険料計算書（上限2000万）'!$O$15="",0,IF($B366&lt;'信用保険料計算書（上限2000万）'!$O$15,0,IF($B366&gt;'信用保険料計算書（上限2000万）'!$O$16,0,1)))</f>
        <v>0</v>
      </c>
      <c r="O366" s="209">
        <f>IF(N366=1,HLOOKUP(C366,'計算書（第6回）'!$C$123:$U$124,2,TRUE),0)</f>
        <v>0</v>
      </c>
      <c r="P366" s="209">
        <f>IF('信用保険料計算書（上限2000万）'!$Q$15="",0,IF($B366&lt;'信用保険料計算書（上限2000万）'!$Q$15,0,IF($B366&gt;'信用保険料計算書（上限2000万）'!$Q$16,0,1)))</f>
        <v>0</v>
      </c>
      <c r="Q366" s="209">
        <f>IF(P366=1,HLOOKUP(C366,'計算書（第7回）'!$C$123:$U$124,2,TRUE),0)</f>
        <v>0</v>
      </c>
      <c r="R366" s="213"/>
      <c r="S366" s="211">
        <f>COUNTIF($AB$13:$AB$19,"&lt;=2031/7/1")</f>
        <v>2</v>
      </c>
      <c r="T366" s="178">
        <f t="shared" si="40"/>
        <v>44743</v>
      </c>
      <c r="U366" s="181">
        <f t="shared" si="38"/>
        <v>0</v>
      </c>
      <c r="V366" s="182">
        <f t="shared" si="45"/>
        <v>0</v>
      </c>
      <c r="W366" s="245">
        <f t="shared" si="41"/>
        <v>0</v>
      </c>
      <c r="X366" s="182"/>
    </row>
    <row r="367" spans="2:24">
      <c r="B367" s="214">
        <f t="shared" si="39"/>
        <v>51714</v>
      </c>
      <c r="C367" s="198">
        <f t="shared" si="37"/>
        <v>51683</v>
      </c>
      <c r="D367" s="209">
        <f>IF(B367&lt;'信用保険料計算書（上限2000万）'!$E$15,0,IF(B367&gt;'信用保険料計算書（上限2000万）'!$E$16,0,1))</f>
        <v>0</v>
      </c>
      <c r="E367" s="209">
        <f>IF(D367=1,HLOOKUP(C367,'計算書（第1回）'!$C$123:$U$124,2,TRUE),0)</f>
        <v>0</v>
      </c>
      <c r="F367" s="209">
        <f>IF('信用保険料計算書（上限2000万）'!$G$15="",0,IF($B367&lt;'信用保険料計算書（上限2000万）'!$G$15,0,IF($B367&gt;'信用保険料計算書（上限2000万）'!$G$16,0,1)))</f>
        <v>0</v>
      </c>
      <c r="G367" s="209">
        <f>IF(F367=1,HLOOKUP(C367,'計算書（第2回）'!$C$123:$U$124,2,TRUE),0)</f>
        <v>0</v>
      </c>
      <c r="H367" s="209">
        <f>IF('信用保険料計算書（上限2000万）'!$I$15="",0,IF($B367&lt;'信用保険料計算書（上限2000万）'!$I$15,0,IF($B367&gt;'信用保険料計算書（上限2000万）'!$I$16,0,1)))</f>
        <v>0</v>
      </c>
      <c r="I367" s="209">
        <f>IF(H367=1,HLOOKUP(C367,'計算書（第3回）'!$C$123:$U$124,2,TRUE),0)</f>
        <v>0</v>
      </c>
      <c r="J367" s="209">
        <f>IF('信用保険料計算書（上限2000万）'!$K$15="",0,IF($B367&lt;'信用保険料計算書（上限2000万）'!$K$15,0,IF($B367&gt;'信用保険料計算書（上限2000万）'!$K$16,0,1)))</f>
        <v>0</v>
      </c>
      <c r="K367" s="209">
        <f>IF(J367=1,HLOOKUP(C367,'計算書（第4回）'!$C$123:$U$124,2,TRUE),0)</f>
        <v>0</v>
      </c>
      <c r="L367" s="209">
        <f>IF('信用保険料計算書（上限2000万）'!$M$15="",0,IF($B367&lt;'信用保険料計算書（上限2000万）'!$M$15,0,IF($B367&gt;'信用保険料計算書（上限2000万）'!$M$16,0,1)))</f>
        <v>0</v>
      </c>
      <c r="M367" s="209">
        <f>IF(L367=1,HLOOKUP(C367,'計算書（第5回）'!$C$123:$U$124,2,TRUE),0)</f>
        <v>0</v>
      </c>
      <c r="N367" s="209">
        <f>IF('信用保険料計算書（上限2000万）'!$O$15="",0,IF($B367&lt;'信用保険料計算書（上限2000万）'!$O$15,0,IF($B367&gt;'信用保険料計算書（上限2000万）'!$O$16,0,1)))</f>
        <v>0</v>
      </c>
      <c r="O367" s="209">
        <f>IF(N367=1,HLOOKUP(C367,'計算書（第6回）'!$C$123:$U$124,2,TRUE),0)</f>
        <v>0</v>
      </c>
      <c r="P367" s="209">
        <f>IF('信用保険料計算書（上限2000万）'!$Q$15="",0,IF($B367&lt;'信用保険料計算書（上限2000万）'!$Q$15,0,IF($B367&gt;'信用保険料計算書（上限2000万）'!$Q$16,0,1)))</f>
        <v>0</v>
      </c>
      <c r="Q367" s="209">
        <f>IF(P367=1,HLOOKUP(C367,'計算書（第7回）'!$C$123:$U$124,2,TRUE),0)</f>
        <v>0</v>
      </c>
      <c r="R367" s="213"/>
      <c r="S367" s="211">
        <f>COUNTIF($AB$13:$AB$19,"&lt;=2031/8/1")</f>
        <v>2</v>
      </c>
      <c r="T367" s="178">
        <f t="shared" si="40"/>
        <v>44743</v>
      </c>
      <c r="U367" s="181">
        <f t="shared" si="38"/>
        <v>0</v>
      </c>
      <c r="V367" s="182">
        <f t="shared" si="45"/>
        <v>0</v>
      </c>
      <c r="W367" s="245">
        <f t="shared" si="41"/>
        <v>0</v>
      </c>
      <c r="X367" s="182"/>
    </row>
    <row r="368" spans="2:24">
      <c r="B368" s="214">
        <f t="shared" si="39"/>
        <v>51745</v>
      </c>
      <c r="C368" s="198">
        <f t="shared" si="37"/>
        <v>51714</v>
      </c>
      <c r="D368" s="209">
        <f>IF(B368&lt;'信用保険料計算書（上限2000万）'!$E$15,0,IF(B368&gt;'信用保険料計算書（上限2000万）'!$E$16,0,1))</f>
        <v>0</v>
      </c>
      <c r="E368" s="209">
        <f>IF(D368=1,HLOOKUP(C368,'計算書（第1回）'!$C$123:$U$124,2,TRUE),0)</f>
        <v>0</v>
      </c>
      <c r="F368" s="209">
        <f>IF('信用保険料計算書（上限2000万）'!$G$15="",0,IF($B368&lt;'信用保険料計算書（上限2000万）'!$G$15,0,IF($B368&gt;'信用保険料計算書（上限2000万）'!$G$16,0,1)))</f>
        <v>0</v>
      </c>
      <c r="G368" s="209">
        <f>IF(F368=1,HLOOKUP(C368,'計算書（第2回）'!$C$123:$U$124,2,TRUE),0)</f>
        <v>0</v>
      </c>
      <c r="H368" s="209">
        <f>IF('信用保険料計算書（上限2000万）'!$I$15="",0,IF($B368&lt;'信用保険料計算書（上限2000万）'!$I$15,0,IF($B368&gt;'信用保険料計算書（上限2000万）'!$I$16,0,1)))</f>
        <v>0</v>
      </c>
      <c r="I368" s="209">
        <f>IF(H368=1,HLOOKUP(C368,'計算書（第3回）'!$C$123:$U$124,2,TRUE),0)</f>
        <v>0</v>
      </c>
      <c r="J368" s="209">
        <f>IF('信用保険料計算書（上限2000万）'!$K$15="",0,IF($B368&lt;'信用保険料計算書（上限2000万）'!$K$15,0,IF($B368&gt;'信用保険料計算書（上限2000万）'!$K$16,0,1)))</f>
        <v>0</v>
      </c>
      <c r="K368" s="209">
        <f>IF(J368=1,HLOOKUP(C368,'計算書（第4回）'!$C$123:$U$124,2,TRUE),0)</f>
        <v>0</v>
      </c>
      <c r="L368" s="209">
        <f>IF('信用保険料計算書（上限2000万）'!$M$15="",0,IF($B368&lt;'信用保険料計算書（上限2000万）'!$M$15,0,IF($B368&gt;'信用保険料計算書（上限2000万）'!$M$16,0,1)))</f>
        <v>0</v>
      </c>
      <c r="M368" s="209">
        <f>IF(L368=1,HLOOKUP(C368,'計算書（第5回）'!$C$123:$U$124,2,TRUE),0)</f>
        <v>0</v>
      </c>
      <c r="N368" s="209">
        <f>IF('信用保険料計算書（上限2000万）'!$O$15="",0,IF($B368&lt;'信用保険料計算書（上限2000万）'!$O$15,0,IF($B368&gt;'信用保険料計算書（上限2000万）'!$O$16,0,1)))</f>
        <v>0</v>
      </c>
      <c r="O368" s="209">
        <f>IF(N368=1,HLOOKUP(C368,'計算書（第6回）'!$C$123:$U$124,2,TRUE),0)</f>
        <v>0</v>
      </c>
      <c r="P368" s="209">
        <f>IF('信用保険料計算書（上限2000万）'!$Q$15="",0,IF($B368&lt;'信用保険料計算書（上限2000万）'!$Q$15,0,IF($B368&gt;'信用保険料計算書（上限2000万）'!$Q$16,0,1)))</f>
        <v>0</v>
      </c>
      <c r="Q368" s="209">
        <f>IF(P368=1,HLOOKUP(C368,'計算書（第7回）'!$C$123:$U$124,2,TRUE),0)</f>
        <v>0</v>
      </c>
      <c r="R368" s="213"/>
      <c r="S368" s="211">
        <f>COUNTIF($AB$13:$AB$19,"&lt;=2031/9/1")</f>
        <v>2</v>
      </c>
      <c r="T368" s="178">
        <f t="shared" si="40"/>
        <v>44743</v>
      </c>
      <c r="U368" s="181">
        <f t="shared" si="38"/>
        <v>0</v>
      </c>
      <c r="V368" s="182">
        <f t="shared" si="45"/>
        <v>0</v>
      </c>
      <c r="W368" s="245">
        <f t="shared" si="41"/>
        <v>0</v>
      </c>
      <c r="X368" s="183">
        <f>INT(SUM(W363:W368))</f>
        <v>0</v>
      </c>
    </row>
    <row r="369" spans="2:24">
      <c r="B369" s="214">
        <f t="shared" si="39"/>
        <v>51775</v>
      </c>
      <c r="C369" s="198">
        <f t="shared" si="37"/>
        <v>51745</v>
      </c>
      <c r="D369" s="209">
        <f>IF(B369&lt;'信用保険料計算書（上限2000万）'!$E$15,0,IF(B369&gt;'信用保険料計算書（上限2000万）'!$E$16,0,1))</f>
        <v>0</v>
      </c>
      <c r="E369" s="209">
        <f>IF(D369=1,HLOOKUP(C369,'計算書（第1回）'!$C$123:$U$124,2,TRUE),0)</f>
        <v>0</v>
      </c>
      <c r="F369" s="209">
        <f>IF('信用保険料計算書（上限2000万）'!$G$15="",0,IF($B369&lt;'信用保険料計算書（上限2000万）'!$G$15,0,IF($B369&gt;'信用保険料計算書（上限2000万）'!$G$16,0,1)))</f>
        <v>0</v>
      </c>
      <c r="G369" s="209">
        <f>IF(F369=1,HLOOKUP(C369,'計算書（第2回）'!$C$123:$U$124,2,TRUE),0)</f>
        <v>0</v>
      </c>
      <c r="H369" s="209">
        <f>IF('信用保険料計算書（上限2000万）'!$I$15="",0,IF($B369&lt;'信用保険料計算書（上限2000万）'!$I$15,0,IF($B369&gt;'信用保険料計算書（上限2000万）'!$I$16,0,1)))</f>
        <v>0</v>
      </c>
      <c r="I369" s="209">
        <f>IF(H369=1,HLOOKUP(C369,'計算書（第3回）'!$C$123:$U$124,2,TRUE),0)</f>
        <v>0</v>
      </c>
      <c r="J369" s="209">
        <f>IF('信用保険料計算書（上限2000万）'!$K$15="",0,IF($B369&lt;'信用保険料計算書（上限2000万）'!$K$15,0,IF($B369&gt;'信用保険料計算書（上限2000万）'!$K$16,0,1)))</f>
        <v>0</v>
      </c>
      <c r="K369" s="209">
        <f>IF(J369=1,HLOOKUP(C369,'計算書（第4回）'!$C$123:$U$124,2,TRUE),0)</f>
        <v>0</v>
      </c>
      <c r="L369" s="209">
        <f>IF('信用保険料計算書（上限2000万）'!$M$15="",0,IF($B369&lt;'信用保険料計算書（上限2000万）'!$M$15,0,IF($B369&gt;'信用保険料計算書（上限2000万）'!$M$16,0,1)))</f>
        <v>0</v>
      </c>
      <c r="M369" s="209">
        <f>IF(L369=1,HLOOKUP(C369,'計算書（第5回）'!$C$123:$U$124,2,TRUE),0)</f>
        <v>0</v>
      </c>
      <c r="N369" s="209">
        <f>IF('信用保険料計算書（上限2000万）'!$O$15="",0,IF($B369&lt;'信用保険料計算書（上限2000万）'!$O$15,0,IF($B369&gt;'信用保険料計算書（上限2000万）'!$O$16,0,1)))</f>
        <v>0</v>
      </c>
      <c r="O369" s="209">
        <f>IF(N369=1,HLOOKUP(C369,'計算書（第6回）'!$C$123:$U$124,2,TRUE),0)</f>
        <v>0</v>
      </c>
      <c r="P369" s="209">
        <f>IF('信用保険料計算書（上限2000万）'!$Q$15="",0,IF($B369&lt;'信用保険料計算書（上限2000万）'!$Q$15,0,IF($B369&gt;'信用保険料計算書（上限2000万）'!$Q$16,0,1)))</f>
        <v>0</v>
      </c>
      <c r="Q369" s="209">
        <f>IF(P369=1,HLOOKUP(C369,'計算書（第7回）'!$C$123:$U$124,2,TRUE),0)</f>
        <v>0</v>
      </c>
      <c r="R369" s="213"/>
      <c r="S369" s="211">
        <f>COUNTIF($AB$13:$AB$19,"&lt;=2031/10/1")</f>
        <v>2</v>
      </c>
      <c r="T369" s="178">
        <f t="shared" si="40"/>
        <v>44743</v>
      </c>
      <c r="U369" s="181">
        <f t="shared" si="38"/>
        <v>0</v>
      </c>
      <c r="V369" s="182">
        <f t="shared" si="45"/>
        <v>0</v>
      </c>
      <c r="W369" s="245">
        <f t="shared" si="41"/>
        <v>0</v>
      </c>
      <c r="X369" s="182"/>
    </row>
    <row r="370" spans="2:24">
      <c r="B370" s="214">
        <f t="shared" si="39"/>
        <v>51806</v>
      </c>
      <c r="C370" s="198">
        <f t="shared" si="37"/>
        <v>51775</v>
      </c>
      <c r="D370" s="209">
        <f>IF(B370&lt;'信用保険料計算書（上限2000万）'!$E$15,0,IF(B370&gt;'信用保険料計算書（上限2000万）'!$E$16,0,1))</f>
        <v>0</v>
      </c>
      <c r="E370" s="209">
        <f>IF(D370=1,HLOOKUP(C370,'計算書（第1回）'!$C$123:$U$124,2,TRUE),0)</f>
        <v>0</v>
      </c>
      <c r="F370" s="209">
        <f>IF('信用保険料計算書（上限2000万）'!$G$15="",0,IF($B370&lt;'信用保険料計算書（上限2000万）'!$G$15,0,IF($B370&gt;'信用保険料計算書（上限2000万）'!$G$16,0,1)))</f>
        <v>0</v>
      </c>
      <c r="G370" s="209">
        <f>IF(F370=1,HLOOKUP(C370,'計算書（第2回）'!$C$123:$U$124,2,TRUE),0)</f>
        <v>0</v>
      </c>
      <c r="H370" s="209">
        <f>IF('信用保険料計算書（上限2000万）'!$I$15="",0,IF($B370&lt;'信用保険料計算書（上限2000万）'!$I$15,0,IF($B370&gt;'信用保険料計算書（上限2000万）'!$I$16,0,1)))</f>
        <v>0</v>
      </c>
      <c r="I370" s="209">
        <f>IF(H370=1,HLOOKUP(C370,'計算書（第3回）'!$C$123:$U$124,2,TRUE),0)</f>
        <v>0</v>
      </c>
      <c r="J370" s="209">
        <f>IF('信用保険料計算書（上限2000万）'!$K$15="",0,IF($B370&lt;'信用保険料計算書（上限2000万）'!$K$15,0,IF($B370&gt;'信用保険料計算書（上限2000万）'!$K$16,0,1)))</f>
        <v>0</v>
      </c>
      <c r="K370" s="209">
        <f>IF(J370=1,HLOOKUP(C370,'計算書（第4回）'!$C$123:$U$124,2,TRUE),0)</f>
        <v>0</v>
      </c>
      <c r="L370" s="209">
        <f>IF('信用保険料計算書（上限2000万）'!$M$15="",0,IF($B370&lt;'信用保険料計算書（上限2000万）'!$M$15,0,IF($B370&gt;'信用保険料計算書（上限2000万）'!$M$16,0,1)))</f>
        <v>0</v>
      </c>
      <c r="M370" s="209">
        <f>IF(L370=1,HLOOKUP(C370,'計算書（第5回）'!$C$123:$U$124,2,TRUE),0)</f>
        <v>0</v>
      </c>
      <c r="N370" s="209">
        <f>IF('信用保険料計算書（上限2000万）'!$O$15="",0,IF($B370&lt;'信用保険料計算書（上限2000万）'!$O$15,0,IF($B370&gt;'信用保険料計算書（上限2000万）'!$O$16,0,1)))</f>
        <v>0</v>
      </c>
      <c r="O370" s="209">
        <f>IF(N370=1,HLOOKUP(C370,'計算書（第6回）'!$C$123:$U$124,2,TRUE),0)</f>
        <v>0</v>
      </c>
      <c r="P370" s="209">
        <f>IF('信用保険料計算書（上限2000万）'!$Q$15="",0,IF($B370&lt;'信用保険料計算書（上限2000万）'!$Q$15,0,IF($B370&gt;'信用保険料計算書（上限2000万）'!$Q$16,0,1)))</f>
        <v>0</v>
      </c>
      <c r="Q370" s="209">
        <f>IF(P370=1,HLOOKUP(C370,'計算書（第7回）'!$C$123:$U$124,2,TRUE),0)</f>
        <v>0</v>
      </c>
      <c r="R370" s="213"/>
      <c r="S370" s="211">
        <f>COUNTIF($AB$13:$AB$19,"&lt;=2031/11/1")</f>
        <v>2</v>
      </c>
      <c r="T370" s="178">
        <f t="shared" si="40"/>
        <v>44743</v>
      </c>
      <c r="U370" s="181">
        <f t="shared" si="38"/>
        <v>0</v>
      </c>
      <c r="V370" s="182">
        <f t="shared" si="45"/>
        <v>0</v>
      </c>
      <c r="W370" s="245">
        <f t="shared" si="41"/>
        <v>0</v>
      </c>
      <c r="X370" s="182"/>
    </row>
    <row r="371" spans="2:24">
      <c r="B371" s="214">
        <f t="shared" si="39"/>
        <v>51836</v>
      </c>
      <c r="C371" s="198">
        <f t="shared" si="37"/>
        <v>51806</v>
      </c>
      <c r="D371" s="209">
        <f>IF(B371&lt;'信用保険料計算書（上限2000万）'!$E$15,0,IF(B371&gt;'信用保険料計算書（上限2000万）'!$E$16,0,1))</f>
        <v>0</v>
      </c>
      <c r="E371" s="209">
        <f>IF(D371=1,HLOOKUP(C371,'計算書（第1回）'!$C$123:$U$124,2,TRUE),0)</f>
        <v>0</v>
      </c>
      <c r="F371" s="209">
        <f>IF('信用保険料計算書（上限2000万）'!$G$15="",0,IF($B371&lt;'信用保険料計算書（上限2000万）'!$G$15,0,IF($B371&gt;'信用保険料計算書（上限2000万）'!$G$16,0,1)))</f>
        <v>0</v>
      </c>
      <c r="G371" s="209">
        <f>IF(F371=1,HLOOKUP(C371,'計算書（第2回）'!$C$123:$U$124,2,TRUE),0)</f>
        <v>0</v>
      </c>
      <c r="H371" s="209">
        <f>IF('信用保険料計算書（上限2000万）'!$I$15="",0,IF($B371&lt;'信用保険料計算書（上限2000万）'!$I$15,0,IF($B371&gt;'信用保険料計算書（上限2000万）'!$I$16,0,1)))</f>
        <v>0</v>
      </c>
      <c r="I371" s="209">
        <f>IF(H371=1,HLOOKUP(C371,'計算書（第3回）'!$C$123:$U$124,2,TRUE),0)</f>
        <v>0</v>
      </c>
      <c r="J371" s="209">
        <f>IF('信用保険料計算書（上限2000万）'!$K$15="",0,IF($B371&lt;'信用保険料計算書（上限2000万）'!$K$15,0,IF($B371&gt;'信用保険料計算書（上限2000万）'!$K$16,0,1)))</f>
        <v>0</v>
      </c>
      <c r="K371" s="209">
        <f>IF(J371=1,HLOOKUP(C371,'計算書（第4回）'!$C$123:$U$124,2,TRUE),0)</f>
        <v>0</v>
      </c>
      <c r="L371" s="209">
        <f>IF('信用保険料計算書（上限2000万）'!$M$15="",0,IF($B371&lt;'信用保険料計算書（上限2000万）'!$M$15,0,IF($B371&gt;'信用保険料計算書（上限2000万）'!$M$16,0,1)))</f>
        <v>0</v>
      </c>
      <c r="M371" s="209">
        <f>IF(L371=1,HLOOKUP(C371,'計算書（第5回）'!$C$123:$U$124,2,TRUE),0)</f>
        <v>0</v>
      </c>
      <c r="N371" s="209">
        <f>IF('信用保険料計算書（上限2000万）'!$O$15="",0,IF($B371&lt;'信用保険料計算書（上限2000万）'!$O$15,0,IF($B371&gt;'信用保険料計算書（上限2000万）'!$O$16,0,1)))</f>
        <v>0</v>
      </c>
      <c r="O371" s="209">
        <f>IF(N371=1,HLOOKUP(C371,'計算書（第6回）'!$C$123:$U$124,2,TRUE),0)</f>
        <v>0</v>
      </c>
      <c r="P371" s="209">
        <f>IF('信用保険料計算書（上限2000万）'!$Q$15="",0,IF($B371&lt;'信用保険料計算書（上限2000万）'!$Q$15,0,IF($B371&gt;'信用保険料計算書（上限2000万）'!$Q$16,0,1)))</f>
        <v>0</v>
      </c>
      <c r="Q371" s="209">
        <f>IF(P371=1,HLOOKUP(C371,'計算書（第7回）'!$C$123:$U$124,2,TRUE),0)</f>
        <v>0</v>
      </c>
      <c r="R371" s="213"/>
      <c r="S371" s="211">
        <f>COUNTIF($AB$13:$AB$19,"&lt;=2031/12/1")</f>
        <v>2</v>
      </c>
      <c r="T371" s="178">
        <f t="shared" si="40"/>
        <v>44743</v>
      </c>
      <c r="U371" s="181">
        <f t="shared" si="38"/>
        <v>0</v>
      </c>
      <c r="V371" s="182">
        <f t="shared" si="45"/>
        <v>0</v>
      </c>
      <c r="W371" s="245">
        <f t="shared" si="41"/>
        <v>0</v>
      </c>
      <c r="X371" s="182"/>
    </row>
    <row r="372" spans="2:24">
      <c r="B372" s="214">
        <f t="shared" si="39"/>
        <v>51867</v>
      </c>
      <c r="C372" s="198">
        <f t="shared" si="37"/>
        <v>51836</v>
      </c>
      <c r="D372" s="209">
        <f>IF(B372&lt;'信用保険料計算書（上限2000万）'!$E$15,0,IF(B372&gt;'信用保険料計算書（上限2000万）'!$E$16,0,1))</f>
        <v>0</v>
      </c>
      <c r="E372" s="209">
        <f>IF(D372=1,HLOOKUP(C372,'計算書（第1回）'!$C$123:$U$124,2,TRUE),0)</f>
        <v>0</v>
      </c>
      <c r="F372" s="209">
        <f>IF('信用保険料計算書（上限2000万）'!$G$15="",0,IF($B372&lt;'信用保険料計算書（上限2000万）'!$G$15,0,IF($B372&gt;'信用保険料計算書（上限2000万）'!$G$16,0,1)))</f>
        <v>0</v>
      </c>
      <c r="G372" s="209">
        <f>IF(F372=1,HLOOKUP(C372,'計算書（第2回）'!$C$123:$U$124,2,TRUE),0)</f>
        <v>0</v>
      </c>
      <c r="H372" s="209">
        <f>IF('信用保険料計算書（上限2000万）'!$I$15="",0,IF($B372&lt;'信用保険料計算書（上限2000万）'!$I$15,0,IF($B372&gt;'信用保険料計算書（上限2000万）'!$I$16,0,1)))</f>
        <v>0</v>
      </c>
      <c r="I372" s="209">
        <f>IF(H372=1,HLOOKUP(C372,'計算書（第3回）'!$C$123:$U$124,2,TRUE),0)</f>
        <v>0</v>
      </c>
      <c r="J372" s="209">
        <f>IF('信用保険料計算書（上限2000万）'!$K$15="",0,IF($B372&lt;'信用保険料計算書（上限2000万）'!$K$15,0,IF($B372&gt;'信用保険料計算書（上限2000万）'!$K$16,0,1)))</f>
        <v>0</v>
      </c>
      <c r="K372" s="209">
        <f>IF(J372=1,HLOOKUP(C372,'計算書（第4回）'!$C$123:$U$124,2,TRUE),0)</f>
        <v>0</v>
      </c>
      <c r="L372" s="209">
        <f>IF('信用保険料計算書（上限2000万）'!$M$15="",0,IF($B372&lt;'信用保険料計算書（上限2000万）'!$M$15,0,IF($B372&gt;'信用保険料計算書（上限2000万）'!$M$16,0,1)))</f>
        <v>0</v>
      </c>
      <c r="M372" s="209">
        <f>IF(L372=1,HLOOKUP(C372,'計算書（第5回）'!$C$123:$U$124,2,TRUE),0)</f>
        <v>0</v>
      </c>
      <c r="N372" s="209">
        <f>IF('信用保険料計算書（上限2000万）'!$O$15="",0,IF($B372&lt;'信用保険料計算書（上限2000万）'!$O$15,0,IF($B372&gt;'信用保険料計算書（上限2000万）'!$O$16,0,1)))</f>
        <v>0</v>
      </c>
      <c r="O372" s="209">
        <f>IF(N372=1,HLOOKUP(C372,'計算書（第6回）'!$C$123:$U$124,2,TRUE),0)</f>
        <v>0</v>
      </c>
      <c r="P372" s="209">
        <f>IF('信用保険料計算書（上限2000万）'!$Q$15="",0,IF($B372&lt;'信用保険料計算書（上限2000万）'!$Q$15,0,IF($B372&gt;'信用保険料計算書（上限2000万）'!$Q$16,0,1)))</f>
        <v>0</v>
      </c>
      <c r="Q372" s="209">
        <f>IF(P372=1,HLOOKUP(C372,'計算書（第7回）'!$C$123:$U$124,2,TRUE),0)</f>
        <v>0</v>
      </c>
      <c r="R372" s="212"/>
      <c r="S372" s="211">
        <f>COUNTIF($AB$13:$AB$19,"&lt;=2032/1/1")</f>
        <v>2</v>
      </c>
      <c r="T372" s="178">
        <f t="shared" si="40"/>
        <v>44743</v>
      </c>
      <c r="U372" s="181">
        <f t="shared" si="38"/>
        <v>0</v>
      </c>
      <c r="V372" s="182">
        <f t="shared" si="45"/>
        <v>0</v>
      </c>
      <c r="W372" s="245">
        <f t="shared" si="41"/>
        <v>0</v>
      </c>
      <c r="X372" s="182"/>
    </row>
    <row r="373" spans="2:24">
      <c r="B373" s="214">
        <f t="shared" si="39"/>
        <v>51898</v>
      </c>
      <c r="C373" s="198">
        <f t="shared" si="37"/>
        <v>51867</v>
      </c>
      <c r="D373" s="209">
        <f>IF(B373&lt;'信用保険料計算書（上限2000万）'!$E$15,0,IF(B373&gt;'信用保険料計算書（上限2000万）'!$E$16,0,1))</f>
        <v>0</v>
      </c>
      <c r="E373" s="209">
        <f>IF(D373=1,HLOOKUP(C373,'計算書（第1回）'!$C$123:$U$124,2,TRUE),0)</f>
        <v>0</v>
      </c>
      <c r="F373" s="209">
        <f>IF('信用保険料計算書（上限2000万）'!$G$15="",0,IF($B373&lt;'信用保険料計算書（上限2000万）'!$G$15,0,IF($B373&gt;'信用保険料計算書（上限2000万）'!$G$16,0,1)))</f>
        <v>0</v>
      </c>
      <c r="G373" s="209">
        <f>IF(F373=1,HLOOKUP(C373,'計算書（第2回）'!$C$123:$U$124,2,TRUE),0)</f>
        <v>0</v>
      </c>
      <c r="H373" s="209">
        <f>IF('信用保険料計算書（上限2000万）'!$I$15="",0,IF($B373&lt;'信用保険料計算書（上限2000万）'!$I$15,0,IF($B373&gt;'信用保険料計算書（上限2000万）'!$I$16,0,1)))</f>
        <v>0</v>
      </c>
      <c r="I373" s="209">
        <f>IF(H373=1,HLOOKUP(C373,'計算書（第3回）'!$C$123:$U$124,2,TRUE),0)</f>
        <v>0</v>
      </c>
      <c r="J373" s="209">
        <f>IF('信用保険料計算書（上限2000万）'!$K$15="",0,IF($B373&lt;'信用保険料計算書（上限2000万）'!$K$15,0,IF($B373&gt;'信用保険料計算書（上限2000万）'!$K$16,0,1)))</f>
        <v>0</v>
      </c>
      <c r="K373" s="209">
        <f>IF(J373=1,HLOOKUP(C373,'計算書（第4回）'!$C$123:$U$124,2,TRUE),0)</f>
        <v>0</v>
      </c>
      <c r="L373" s="209">
        <f>IF('信用保険料計算書（上限2000万）'!$M$15="",0,IF($B373&lt;'信用保険料計算書（上限2000万）'!$M$15,0,IF($B373&gt;'信用保険料計算書（上限2000万）'!$M$16,0,1)))</f>
        <v>0</v>
      </c>
      <c r="M373" s="209">
        <f>IF(L373=1,HLOOKUP(C373,'計算書（第5回）'!$C$123:$U$124,2,TRUE),0)</f>
        <v>0</v>
      </c>
      <c r="N373" s="209">
        <f>IF('信用保険料計算書（上限2000万）'!$O$15="",0,IF($B373&lt;'信用保険料計算書（上限2000万）'!$O$15,0,IF($B373&gt;'信用保険料計算書（上限2000万）'!$O$16,0,1)))</f>
        <v>0</v>
      </c>
      <c r="O373" s="209">
        <f>IF(N373=1,HLOOKUP(C373,'計算書（第6回）'!$C$123:$U$124,2,TRUE),0)</f>
        <v>0</v>
      </c>
      <c r="P373" s="209">
        <f>IF('信用保険料計算書（上限2000万）'!$Q$15="",0,IF($B373&lt;'信用保険料計算書（上限2000万）'!$Q$15,0,IF($B373&gt;'信用保険料計算書（上限2000万）'!$Q$16,0,1)))</f>
        <v>0</v>
      </c>
      <c r="Q373" s="209">
        <f>IF(P373=1,HLOOKUP(C373,'計算書（第7回）'!$C$123:$U$124,2,TRUE),0)</f>
        <v>0</v>
      </c>
      <c r="R373" s="212"/>
      <c r="S373" s="211">
        <f>COUNTIF($AB$13:$AB$19,"&lt;=2032/2/1")</f>
        <v>2</v>
      </c>
      <c r="T373" s="178">
        <f t="shared" si="40"/>
        <v>44743</v>
      </c>
      <c r="U373" s="181">
        <f t="shared" si="38"/>
        <v>0</v>
      </c>
      <c r="V373" s="182">
        <f t="shared" si="45"/>
        <v>0</v>
      </c>
      <c r="W373" s="245">
        <f t="shared" si="41"/>
        <v>0</v>
      </c>
      <c r="X373" s="182"/>
    </row>
    <row r="374" spans="2:24">
      <c r="B374" s="214">
        <f t="shared" si="39"/>
        <v>51926</v>
      </c>
      <c r="C374" s="198">
        <f t="shared" si="37"/>
        <v>51898</v>
      </c>
      <c r="D374" s="209">
        <f>IF(B374&lt;'信用保険料計算書（上限2000万）'!$E$15,0,IF(B374&gt;'信用保険料計算書（上限2000万）'!$E$16,0,1))</f>
        <v>0</v>
      </c>
      <c r="E374" s="209">
        <f>IF(D374=1,HLOOKUP(C374,'計算書（第1回）'!$C$123:$U$124,2,TRUE),0)</f>
        <v>0</v>
      </c>
      <c r="F374" s="209">
        <f>IF('信用保険料計算書（上限2000万）'!$G$15="",0,IF($B374&lt;'信用保険料計算書（上限2000万）'!$G$15,0,IF($B374&gt;'信用保険料計算書（上限2000万）'!$G$16,0,1)))</f>
        <v>0</v>
      </c>
      <c r="G374" s="209">
        <f>IF(F374=1,HLOOKUP(C374,'計算書（第2回）'!$C$123:$U$124,2,TRUE),0)</f>
        <v>0</v>
      </c>
      <c r="H374" s="209">
        <f>IF('信用保険料計算書（上限2000万）'!$I$15="",0,IF($B374&lt;'信用保険料計算書（上限2000万）'!$I$15,0,IF($B374&gt;'信用保険料計算書（上限2000万）'!$I$16,0,1)))</f>
        <v>0</v>
      </c>
      <c r="I374" s="209">
        <f>IF(H374=1,HLOOKUP(C374,'計算書（第3回）'!$C$123:$U$124,2,TRUE),0)</f>
        <v>0</v>
      </c>
      <c r="J374" s="209">
        <f>IF('信用保険料計算書（上限2000万）'!$K$15="",0,IF($B374&lt;'信用保険料計算書（上限2000万）'!$K$15,0,IF($B374&gt;'信用保険料計算書（上限2000万）'!$K$16,0,1)))</f>
        <v>0</v>
      </c>
      <c r="K374" s="209">
        <f>IF(J374=1,HLOOKUP(C374,'計算書（第4回）'!$C$123:$U$124,2,TRUE),0)</f>
        <v>0</v>
      </c>
      <c r="L374" s="209">
        <f>IF('信用保険料計算書（上限2000万）'!$M$15="",0,IF($B374&lt;'信用保険料計算書（上限2000万）'!$M$15,0,IF($B374&gt;'信用保険料計算書（上限2000万）'!$M$16,0,1)))</f>
        <v>0</v>
      </c>
      <c r="M374" s="209">
        <f>IF(L374=1,HLOOKUP(C374,'計算書（第5回）'!$C$123:$U$124,2,TRUE),0)</f>
        <v>0</v>
      </c>
      <c r="N374" s="209">
        <f>IF('信用保険料計算書（上限2000万）'!$O$15="",0,IF($B374&lt;'信用保険料計算書（上限2000万）'!$O$15,0,IF($B374&gt;'信用保険料計算書（上限2000万）'!$O$16,0,1)))</f>
        <v>0</v>
      </c>
      <c r="O374" s="209">
        <f>IF(N374=1,HLOOKUP(C374,'計算書（第6回）'!$C$123:$U$124,2,TRUE),0)</f>
        <v>0</v>
      </c>
      <c r="P374" s="209">
        <f>IF('信用保険料計算書（上限2000万）'!$Q$15="",0,IF($B374&lt;'信用保険料計算書（上限2000万）'!$Q$15,0,IF($B374&gt;'信用保険料計算書（上限2000万）'!$Q$16,0,1)))</f>
        <v>0</v>
      </c>
      <c r="Q374" s="209">
        <f>IF(P374=1,HLOOKUP(C374,'計算書（第7回）'!$C$123:$U$124,2,TRUE),0)</f>
        <v>0</v>
      </c>
      <c r="R374" s="212"/>
      <c r="S374" s="211">
        <f>COUNTIF($AB$13:$AB$19,"&lt;=2032/3/1")</f>
        <v>2</v>
      </c>
      <c r="T374" s="178">
        <f t="shared" si="40"/>
        <v>44743</v>
      </c>
      <c r="U374" s="181">
        <f t="shared" si="38"/>
        <v>0</v>
      </c>
      <c r="V374" s="182">
        <f t="shared" si="45"/>
        <v>0</v>
      </c>
      <c r="W374" s="245">
        <f t="shared" si="41"/>
        <v>0</v>
      </c>
      <c r="X374" s="183">
        <f>INT(SUM(W369:W374))</f>
        <v>0</v>
      </c>
    </row>
    <row r="375" spans="2:24">
      <c r="B375" s="214">
        <f t="shared" si="39"/>
        <v>51957</v>
      </c>
      <c r="C375" s="198">
        <f t="shared" si="37"/>
        <v>51926</v>
      </c>
      <c r="D375" s="209">
        <f>IF(B375&lt;'信用保険料計算書（上限2000万）'!$E$15,0,IF(B375&gt;'信用保険料計算書（上限2000万）'!$E$16,0,1))</f>
        <v>0</v>
      </c>
      <c r="E375" s="209">
        <f>IF(D375=1,HLOOKUP(C375,'計算書（第1回）'!$C$123:$U$124,2,TRUE),0)</f>
        <v>0</v>
      </c>
      <c r="F375" s="209">
        <f>IF('信用保険料計算書（上限2000万）'!$G$15="",0,IF($B375&lt;'信用保険料計算書（上限2000万）'!$G$15,0,IF($B375&gt;'信用保険料計算書（上限2000万）'!$G$16,0,1)))</f>
        <v>0</v>
      </c>
      <c r="G375" s="209">
        <f>IF(F375=1,HLOOKUP(C375,'計算書（第2回）'!$C$123:$U$124,2,TRUE),0)</f>
        <v>0</v>
      </c>
      <c r="H375" s="209">
        <f>IF('信用保険料計算書（上限2000万）'!$I$15="",0,IF($B375&lt;'信用保険料計算書（上限2000万）'!$I$15,0,IF($B375&gt;'信用保険料計算書（上限2000万）'!$I$16,0,1)))</f>
        <v>0</v>
      </c>
      <c r="I375" s="209">
        <f>IF(H375=1,HLOOKUP(C375,'計算書（第3回）'!$C$123:$U$124,2,TRUE),0)</f>
        <v>0</v>
      </c>
      <c r="J375" s="209">
        <f>IF('信用保険料計算書（上限2000万）'!$K$15="",0,IF($B375&lt;'信用保険料計算書（上限2000万）'!$K$15,0,IF($B375&gt;'信用保険料計算書（上限2000万）'!$K$16,0,1)))</f>
        <v>0</v>
      </c>
      <c r="K375" s="209">
        <f>IF(J375=1,HLOOKUP(C375,'計算書（第4回）'!$C$123:$U$124,2,TRUE),0)</f>
        <v>0</v>
      </c>
      <c r="L375" s="209">
        <f>IF('信用保険料計算書（上限2000万）'!$M$15="",0,IF($B375&lt;'信用保険料計算書（上限2000万）'!$M$15,0,IF($B375&gt;'信用保険料計算書（上限2000万）'!$M$16,0,1)))</f>
        <v>0</v>
      </c>
      <c r="M375" s="209">
        <f>IF(L375=1,HLOOKUP(C375,'計算書（第5回）'!$C$123:$U$124,2,TRUE),0)</f>
        <v>0</v>
      </c>
      <c r="N375" s="209">
        <f>IF('信用保険料計算書（上限2000万）'!$O$15="",0,IF($B375&lt;'信用保険料計算書（上限2000万）'!$O$15,0,IF($B375&gt;'信用保険料計算書（上限2000万）'!$O$16,0,1)))</f>
        <v>0</v>
      </c>
      <c r="O375" s="209">
        <f>IF(N375=1,HLOOKUP(C375,'計算書（第6回）'!$C$123:$U$124,2,TRUE),0)</f>
        <v>0</v>
      </c>
      <c r="P375" s="209">
        <f>IF('信用保険料計算書（上限2000万）'!$Q$15="",0,IF($B375&lt;'信用保険料計算書（上限2000万）'!$Q$15,0,IF($B375&gt;'信用保険料計算書（上限2000万）'!$Q$16,0,1)))</f>
        <v>0</v>
      </c>
      <c r="Q375" s="209">
        <f>IF(P375=1,HLOOKUP(C375,'計算書（第7回）'!$C$123:$U$124,2,TRUE),0)</f>
        <v>0</v>
      </c>
      <c r="R375" s="213"/>
      <c r="S375" s="211">
        <f>COUNTIF($AB$13:$AB$19,"&lt;=2031/4/1")</f>
        <v>2</v>
      </c>
      <c r="T375" s="178">
        <f t="shared" si="40"/>
        <v>44743</v>
      </c>
      <c r="U375" s="181">
        <f t="shared" si="38"/>
        <v>0</v>
      </c>
      <c r="V375" s="182">
        <f t="shared" ref="V375:V386" si="46">IF(U375=0,0,IF(U375&gt;VLOOKUP(T375,$AA$5:$AB$8,2,TRUE),VLOOKUP(T375,$AA$5:$AB$8,2,TRUE),U375))</f>
        <v>0</v>
      </c>
      <c r="W375" s="245">
        <f t="shared" si="41"/>
        <v>0</v>
      </c>
      <c r="X375" s="182"/>
    </row>
    <row r="376" spans="2:24">
      <c r="B376" s="214">
        <f t="shared" si="39"/>
        <v>51987</v>
      </c>
      <c r="C376" s="198">
        <f t="shared" si="37"/>
        <v>51957</v>
      </c>
      <c r="D376" s="209">
        <f>IF(B376&lt;'信用保険料計算書（上限2000万）'!$E$15,0,IF(B376&gt;'信用保険料計算書（上限2000万）'!$E$16,0,1))</f>
        <v>0</v>
      </c>
      <c r="E376" s="209">
        <f>IF(D376=1,HLOOKUP(C376,'計算書（第1回）'!$C$123:$U$124,2,TRUE),0)</f>
        <v>0</v>
      </c>
      <c r="F376" s="209">
        <f>IF('信用保険料計算書（上限2000万）'!$G$15="",0,IF($B376&lt;'信用保険料計算書（上限2000万）'!$G$15,0,IF($B376&gt;'信用保険料計算書（上限2000万）'!$G$16,0,1)))</f>
        <v>0</v>
      </c>
      <c r="G376" s="209">
        <f>IF(F376=1,HLOOKUP(C376,'計算書（第2回）'!$C$123:$U$124,2,TRUE),0)</f>
        <v>0</v>
      </c>
      <c r="H376" s="209">
        <f>IF('信用保険料計算書（上限2000万）'!$I$15="",0,IF($B376&lt;'信用保険料計算書（上限2000万）'!$I$15,0,IF($B376&gt;'信用保険料計算書（上限2000万）'!$I$16,0,1)))</f>
        <v>0</v>
      </c>
      <c r="I376" s="209">
        <f>IF(H376=1,HLOOKUP(C376,'計算書（第3回）'!$C$123:$U$124,2,TRUE),0)</f>
        <v>0</v>
      </c>
      <c r="J376" s="209">
        <f>IF('信用保険料計算書（上限2000万）'!$K$15="",0,IF($B376&lt;'信用保険料計算書（上限2000万）'!$K$15,0,IF($B376&gt;'信用保険料計算書（上限2000万）'!$K$16,0,1)))</f>
        <v>0</v>
      </c>
      <c r="K376" s="209">
        <f>IF(J376=1,HLOOKUP(C376,'計算書（第4回）'!$C$123:$U$124,2,TRUE),0)</f>
        <v>0</v>
      </c>
      <c r="L376" s="209">
        <f>IF('信用保険料計算書（上限2000万）'!$M$15="",0,IF($B376&lt;'信用保険料計算書（上限2000万）'!$M$15,0,IF($B376&gt;'信用保険料計算書（上限2000万）'!$M$16,0,1)))</f>
        <v>0</v>
      </c>
      <c r="M376" s="209">
        <f>IF(L376=1,HLOOKUP(C376,'計算書（第5回）'!$C$123:$U$124,2,TRUE),0)</f>
        <v>0</v>
      </c>
      <c r="N376" s="209">
        <f>IF('信用保険料計算書（上限2000万）'!$O$15="",0,IF($B376&lt;'信用保険料計算書（上限2000万）'!$O$15,0,IF($B376&gt;'信用保険料計算書（上限2000万）'!$O$16,0,1)))</f>
        <v>0</v>
      </c>
      <c r="O376" s="209">
        <f>IF(N376=1,HLOOKUP(C376,'計算書（第6回）'!$C$123:$U$124,2,TRUE),0)</f>
        <v>0</v>
      </c>
      <c r="P376" s="209">
        <f>IF('信用保険料計算書（上限2000万）'!$Q$15="",0,IF($B376&lt;'信用保険料計算書（上限2000万）'!$Q$15,0,IF($B376&gt;'信用保険料計算書（上限2000万）'!$Q$16,0,1)))</f>
        <v>0</v>
      </c>
      <c r="Q376" s="209">
        <f>IF(P376=1,HLOOKUP(C376,'計算書（第7回）'!$C$123:$U$124,2,TRUE),0)</f>
        <v>0</v>
      </c>
      <c r="R376" s="213"/>
      <c r="S376" s="211">
        <f>COUNTIF($AB$13:$AB$19,"&lt;=2031/5/1")</f>
        <v>2</v>
      </c>
      <c r="T376" s="178">
        <f t="shared" si="40"/>
        <v>44743</v>
      </c>
      <c r="U376" s="181">
        <f t="shared" si="38"/>
        <v>0</v>
      </c>
      <c r="V376" s="182">
        <f t="shared" si="46"/>
        <v>0</v>
      </c>
      <c r="W376" s="245">
        <f t="shared" si="41"/>
        <v>0</v>
      </c>
      <c r="X376" s="182"/>
    </row>
    <row r="377" spans="2:24">
      <c r="B377" s="214">
        <f t="shared" si="39"/>
        <v>52018</v>
      </c>
      <c r="C377" s="198">
        <f t="shared" si="37"/>
        <v>51987</v>
      </c>
      <c r="D377" s="209">
        <f>IF(B377&lt;'信用保険料計算書（上限2000万）'!$E$15,0,IF(B377&gt;'信用保険料計算書（上限2000万）'!$E$16,0,1))</f>
        <v>0</v>
      </c>
      <c r="E377" s="209">
        <f>IF(D377=1,HLOOKUP(C377,'計算書（第1回）'!$C$123:$U$124,2,TRUE),0)</f>
        <v>0</v>
      </c>
      <c r="F377" s="209">
        <f>IF('信用保険料計算書（上限2000万）'!$G$15="",0,IF($B377&lt;'信用保険料計算書（上限2000万）'!$G$15,0,IF($B377&gt;'信用保険料計算書（上限2000万）'!$G$16,0,1)))</f>
        <v>0</v>
      </c>
      <c r="G377" s="209">
        <f>IF(F377=1,HLOOKUP(C377,'計算書（第2回）'!$C$123:$U$124,2,TRUE),0)</f>
        <v>0</v>
      </c>
      <c r="H377" s="209">
        <f>IF('信用保険料計算書（上限2000万）'!$I$15="",0,IF($B377&lt;'信用保険料計算書（上限2000万）'!$I$15,0,IF($B377&gt;'信用保険料計算書（上限2000万）'!$I$16,0,1)))</f>
        <v>0</v>
      </c>
      <c r="I377" s="209">
        <f>IF(H377=1,HLOOKUP(C377,'計算書（第3回）'!$C$123:$U$124,2,TRUE),0)</f>
        <v>0</v>
      </c>
      <c r="J377" s="209">
        <f>IF('信用保険料計算書（上限2000万）'!$K$15="",0,IF($B377&lt;'信用保険料計算書（上限2000万）'!$K$15,0,IF($B377&gt;'信用保険料計算書（上限2000万）'!$K$16,0,1)))</f>
        <v>0</v>
      </c>
      <c r="K377" s="209">
        <f>IF(J377=1,HLOOKUP(C377,'計算書（第4回）'!$C$123:$U$124,2,TRUE),0)</f>
        <v>0</v>
      </c>
      <c r="L377" s="209">
        <f>IF('信用保険料計算書（上限2000万）'!$M$15="",0,IF($B377&lt;'信用保険料計算書（上限2000万）'!$M$15,0,IF($B377&gt;'信用保険料計算書（上限2000万）'!$M$16,0,1)))</f>
        <v>0</v>
      </c>
      <c r="M377" s="209">
        <f>IF(L377=1,HLOOKUP(C377,'計算書（第5回）'!$C$123:$U$124,2,TRUE),0)</f>
        <v>0</v>
      </c>
      <c r="N377" s="209">
        <f>IF('信用保険料計算書（上限2000万）'!$O$15="",0,IF($B377&lt;'信用保険料計算書（上限2000万）'!$O$15,0,IF($B377&gt;'信用保険料計算書（上限2000万）'!$O$16,0,1)))</f>
        <v>0</v>
      </c>
      <c r="O377" s="209">
        <f>IF(N377=1,HLOOKUP(C377,'計算書（第6回）'!$C$123:$U$124,2,TRUE),0)</f>
        <v>0</v>
      </c>
      <c r="P377" s="209">
        <f>IF('信用保険料計算書（上限2000万）'!$Q$15="",0,IF($B377&lt;'信用保険料計算書（上限2000万）'!$Q$15,0,IF($B377&gt;'信用保険料計算書（上限2000万）'!$Q$16,0,1)))</f>
        <v>0</v>
      </c>
      <c r="Q377" s="209">
        <f>IF(P377=1,HLOOKUP(C377,'計算書（第7回）'!$C$123:$U$124,2,TRUE),0)</f>
        <v>0</v>
      </c>
      <c r="R377" s="213"/>
      <c r="S377" s="211">
        <f>COUNTIF($AB$13:$AB$19,"&lt;=2031/6/1")</f>
        <v>2</v>
      </c>
      <c r="T377" s="178">
        <f t="shared" si="40"/>
        <v>44743</v>
      </c>
      <c r="U377" s="181">
        <f t="shared" si="38"/>
        <v>0</v>
      </c>
      <c r="V377" s="182">
        <f t="shared" si="46"/>
        <v>0</v>
      </c>
      <c r="W377" s="245">
        <f t="shared" si="41"/>
        <v>0</v>
      </c>
      <c r="X377" s="182"/>
    </row>
    <row r="378" spans="2:24">
      <c r="B378" s="214">
        <f t="shared" si="39"/>
        <v>52048</v>
      </c>
      <c r="C378" s="198">
        <f t="shared" si="37"/>
        <v>52018</v>
      </c>
      <c r="D378" s="209">
        <f>IF(B378&lt;'信用保険料計算書（上限2000万）'!$E$15,0,IF(B378&gt;'信用保険料計算書（上限2000万）'!$E$16,0,1))</f>
        <v>0</v>
      </c>
      <c r="E378" s="209">
        <f>IF(D378=1,HLOOKUP(C378,'計算書（第1回）'!$C$123:$U$124,2,TRUE),0)</f>
        <v>0</v>
      </c>
      <c r="F378" s="209">
        <f>IF('信用保険料計算書（上限2000万）'!$G$15="",0,IF($B378&lt;'信用保険料計算書（上限2000万）'!$G$15,0,IF($B378&gt;'信用保険料計算書（上限2000万）'!$G$16,0,1)))</f>
        <v>0</v>
      </c>
      <c r="G378" s="209">
        <f>IF(F378=1,HLOOKUP(C378,'計算書（第2回）'!$C$123:$U$124,2,TRUE),0)</f>
        <v>0</v>
      </c>
      <c r="H378" s="209">
        <f>IF('信用保険料計算書（上限2000万）'!$I$15="",0,IF($B378&lt;'信用保険料計算書（上限2000万）'!$I$15,0,IF($B378&gt;'信用保険料計算書（上限2000万）'!$I$16,0,1)))</f>
        <v>0</v>
      </c>
      <c r="I378" s="209">
        <f>IF(H378=1,HLOOKUP(C378,'計算書（第3回）'!$C$123:$U$124,2,TRUE),0)</f>
        <v>0</v>
      </c>
      <c r="J378" s="209">
        <f>IF('信用保険料計算書（上限2000万）'!$K$15="",0,IF($B378&lt;'信用保険料計算書（上限2000万）'!$K$15,0,IF($B378&gt;'信用保険料計算書（上限2000万）'!$K$16,0,1)))</f>
        <v>0</v>
      </c>
      <c r="K378" s="209">
        <f>IF(J378=1,HLOOKUP(C378,'計算書（第4回）'!$C$123:$U$124,2,TRUE),0)</f>
        <v>0</v>
      </c>
      <c r="L378" s="209">
        <f>IF('信用保険料計算書（上限2000万）'!$M$15="",0,IF($B378&lt;'信用保険料計算書（上限2000万）'!$M$15,0,IF($B378&gt;'信用保険料計算書（上限2000万）'!$M$16,0,1)))</f>
        <v>0</v>
      </c>
      <c r="M378" s="209">
        <f>IF(L378=1,HLOOKUP(C378,'計算書（第5回）'!$C$123:$U$124,2,TRUE),0)</f>
        <v>0</v>
      </c>
      <c r="N378" s="209">
        <f>IF('信用保険料計算書（上限2000万）'!$O$15="",0,IF($B378&lt;'信用保険料計算書（上限2000万）'!$O$15,0,IF($B378&gt;'信用保険料計算書（上限2000万）'!$O$16,0,1)))</f>
        <v>0</v>
      </c>
      <c r="O378" s="209">
        <f>IF(N378=1,HLOOKUP(C378,'計算書（第6回）'!$C$123:$U$124,2,TRUE),0)</f>
        <v>0</v>
      </c>
      <c r="P378" s="209">
        <f>IF('信用保険料計算書（上限2000万）'!$Q$15="",0,IF($B378&lt;'信用保険料計算書（上限2000万）'!$Q$15,0,IF($B378&gt;'信用保険料計算書（上限2000万）'!$Q$16,0,1)))</f>
        <v>0</v>
      </c>
      <c r="Q378" s="209">
        <f>IF(P378=1,HLOOKUP(C378,'計算書（第7回）'!$C$123:$U$124,2,TRUE),0)</f>
        <v>0</v>
      </c>
      <c r="R378" s="213"/>
      <c r="S378" s="211">
        <f>COUNTIF($AB$13:$AB$19,"&lt;=2031/7/1")</f>
        <v>2</v>
      </c>
      <c r="T378" s="178">
        <f t="shared" si="40"/>
        <v>44743</v>
      </c>
      <c r="U378" s="181">
        <f t="shared" si="38"/>
        <v>0</v>
      </c>
      <c r="V378" s="182">
        <f t="shared" si="46"/>
        <v>0</v>
      </c>
      <c r="W378" s="245">
        <f t="shared" si="41"/>
        <v>0</v>
      </c>
      <c r="X378" s="182"/>
    </row>
    <row r="379" spans="2:24">
      <c r="B379" s="214">
        <f t="shared" si="39"/>
        <v>52079</v>
      </c>
      <c r="C379" s="198">
        <f t="shared" si="37"/>
        <v>52048</v>
      </c>
      <c r="D379" s="209">
        <f>IF(B379&lt;'信用保険料計算書（上限2000万）'!$E$15,0,IF(B379&gt;'信用保険料計算書（上限2000万）'!$E$16,0,1))</f>
        <v>0</v>
      </c>
      <c r="E379" s="209">
        <f>IF(D379=1,HLOOKUP(C379,'計算書（第1回）'!$C$123:$U$124,2,TRUE),0)</f>
        <v>0</v>
      </c>
      <c r="F379" s="209">
        <f>IF('信用保険料計算書（上限2000万）'!$G$15="",0,IF($B379&lt;'信用保険料計算書（上限2000万）'!$G$15,0,IF($B379&gt;'信用保険料計算書（上限2000万）'!$G$16,0,1)))</f>
        <v>0</v>
      </c>
      <c r="G379" s="209">
        <f>IF(F379=1,HLOOKUP(C379,'計算書（第2回）'!$C$123:$U$124,2,TRUE),0)</f>
        <v>0</v>
      </c>
      <c r="H379" s="209">
        <f>IF('信用保険料計算書（上限2000万）'!$I$15="",0,IF($B379&lt;'信用保険料計算書（上限2000万）'!$I$15,0,IF($B379&gt;'信用保険料計算書（上限2000万）'!$I$16,0,1)))</f>
        <v>0</v>
      </c>
      <c r="I379" s="209">
        <f>IF(H379=1,HLOOKUP(C379,'計算書（第3回）'!$C$123:$U$124,2,TRUE),0)</f>
        <v>0</v>
      </c>
      <c r="J379" s="209">
        <f>IF('信用保険料計算書（上限2000万）'!$K$15="",0,IF($B379&lt;'信用保険料計算書（上限2000万）'!$K$15,0,IF($B379&gt;'信用保険料計算書（上限2000万）'!$K$16,0,1)))</f>
        <v>0</v>
      </c>
      <c r="K379" s="209">
        <f>IF(J379=1,HLOOKUP(C379,'計算書（第4回）'!$C$123:$U$124,2,TRUE),0)</f>
        <v>0</v>
      </c>
      <c r="L379" s="209">
        <f>IF('信用保険料計算書（上限2000万）'!$M$15="",0,IF($B379&lt;'信用保険料計算書（上限2000万）'!$M$15,0,IF($B379&gt;'信用保険料計算書（上限2000万）'!$M$16,0,1)))</f>
        <v>0</v>
      </c>
      <c r="M379" s="209">
        <f>IF(L379=1,HLOOKUP(C379,'計算書（第5回）'!$C$123:$U$124,2,TRUE),0)</f>
        <v>0</v>
      </c>
      <c r="N379" s="209">
        <f>IF('信用保険料計算書（上限2000万）'!$O$15="",0,IF($B379&lt;'信用保険料計算書（上限2000万）'!$O$15,0,IF($B379&gt;'信用保険料計算書（上限2000万）'!$O$16,0,1)))</f>
        <v>0</v>
      </c>
      <c r="O379" s="209">
        <f>IF(N379=1,HLOOKUP(C379,'計算書（第6回）'!$C$123:$U$124,2,TRUE),0)</f>
        <v>0</v>
      </c>
      <c r="P379" s="209">
        <f>IF('信用保険料計算書（上限2000万）'!$Q$15="",0,IF($B379&lt;'信用保険料計算書（上限2000万）'!$Q$15,0,IF($B379&gt;'信用保険料計算書（上限2000万）'!$Q$16,0,1)))</f>
        <v>0</v>
      </c>
      <c r="Q379" s="209">
        <f>IF(P379=1,HLOOKUP(C379,'計算書（第7回）'!$C$123:$U$124,2,TRUE),0)</f>
        <v>0</v>
      </c>
      <c r="R379" s="213"/>
      <c r="S379" s="211">
        <f>COUNTIF($AB$13:$AB$19,"&lt;=2031/8/1")</f>
        <v>2</v>
      </c>
      <c r="T379" s="178">
        <f t="shared" si="40"/>
        <v>44743</v>
      </c>
      <c r="U379" s="181">
        <f t="shared" si="38"/>
        <v>0</v>
      </c>
      <c r="V379" s="182">
        <f t="shared" si="46"/>
        <v>0</v>
      </c>
      <c r="W379" s="245">
        <f t="shared" si="41"/>
        <v>0</v>
      </c>
      <c r="X379" s="182"/>
    </row>
    <row r="380" spans="2:24">
      <c r="B380" s="214">
        <f t="shared" si="39"/>
        <v>52110</v>
      </c>
      <c r="C380" s="198">
        <f t="shared" si="37"/>
        <v>52079</v>
      </c>
      <c r="D380" s="209">
        <f>IF(B380&lt;'信用保険料計算書（上限2000万）'!$E$15,0,IF(B380&gt;'信用保険料計算書（上限2000万）'!$E$16,0,1))</f>
        <v>0</v>
      </c>
      <c r="E380" s="209">
        <f>IF(D380=1,HLOOKUP(C380,'計算書（第1回）'!$C$123:$U$124,2,TRUE),0)</f>
        <v>0</v>
      </c>
      <c r="F380" s="209">
        <f>IF('信用保険料計算書（上限2000万）'!$G$15="",0,IF($B380&lt;'信用保険料計算書（上限2000万）'!$G$15,0,IF($B380&gt;'信用保険料計算書（上限2000万）'!$G$16,0,1)))</f>
        <v>0</v>
      </c>
      <c r="G380" s="209">
        <f>IF(F380=1,HLOOKUP(C380,'計算書（第2回）'!$C$123:$U$124,2,TRUE),0)</f>
        <v>0</v>
      </c>
      <c r="H380" s="209">
        <f>IF('信用保険料計算書（上限2000万）'!$I$15="",0,IF($B380&lt;'信用保険料計算書（上限2000万）'!$I$15,0,IF($B380&gt;'信用保険料計算書（上限2000万）'!$I$16,0,1)))</f>
        <v>0</v>
      </c>
      <c r="I380" s="209">
        <f>IF(H380=1,HLOOKUP(C380,'計算書（第3回）'!$C$123:$U$124,2,TRUE),0)</f>
        <v>0</v>
      </c>
      <c r="J380" s="209">
        <f>IF('信用保険料計算書（上限2000万）'!$K$15="",0,IF($B380&lt;'信用保険料計算書（上限2000万）'!$K$15,0,IF($B380&gt;'信用保険料計算書（上限2000万）'!$K$16,0,1)))</f>
        <v>0</v>
      </c>
      <c r="K380" s="209">
        <f>IF(J380=1,HLOOKUP(C380,'計算書（第4回）'!$C$123:$U$124,2,TRUE),0)</f>
        <v>0</v>
      </c>
      <c r="L380" s="209">
        <f>IF('信用保険料計算書（上限2000万）'!$M$15="",0,IF($B380&lt;'信用保険料計算書（上限2000万）'!$M$15,0,IF($B380&gt;'信用保険料計算書（上限2000万）'!$M$16,0,1)))</f>
        <v>0</v>
      </c>
      <c r="M380" s="209">
        <f>IF(L380=1,HLOOKUP(C380,'計算書（第5回）'!$C$123:$U$124,2,TRUE),0)</f>
        <v>0</v>
      </c>
      <c r="N380" s="209">
        <f>IF('信用保険料計算書（上限2000万）'!$O$15="",0,IF($B380&lt;'信用保険料計算書（上限2000万）'!$O$15,0,IF($B380&gt;'信用保険料計算書（上限2000万）'!$O$16,0,1)))</f>
        <v>0</v>
      </c>
      <c r="O380" s="209">
        <f>IF(N380=1,HLOOKUP(C380,'計算書（第6回）'!$C$123:$U$124,2,TRUE),0)</f>
        <v>0</v>
      </c>
      <c r="P380" s="209">
        <f>IF('信用保険料計算書（上限2000万）'!$Q$15="",0,IF($B380&lt;'信用保険料計算書（上限2000万）'!$Q$15,0,IF($B380&gt;'信用保険料計算書（上限2000万）'!$Q$16,0,1)))</f>
        <v>0</v>
      </c>
      <c r="Q380" s="209">
        <f>IF(P380=1,HLOOKUP(C380,'計算書（第7回）'!$C$123:$U$124,2,TRUE),0)</f>
        <v>0</v>
      </c>
      <c r="R380" s="213"/>
      <c r="S380" s="211">
        <f>COUNTIF($AB$13:$AB$19,"&lt;=2031/9/1")</f>
        <v>2</v>
      </c>
      <c r="T380" s="178">
        <f t="shared" si="40"/>
        <v>44743</v>
      </c>
      <c r="U380" s="181">
        <f t="shared" si="38"/>
        <v>0</v>
      </c>
      <c r="V380" s="182">
        <f t="shared" si="46"/>
        <v>0</v>
      </c>
      <c r="W380" s="245">
        <f t="shared" si="41"/>
        <v>0</v>
      </c>
      <c r="X380" s="183">
        <f>INT(SUM(W375:W380))</f>
        <v>0</v>
      </c>
    </row>
    <row r="381" spans="2:24">
      <c r="B381" s="214">
        <f t="shared" si="39"/>
        <v>52140</v>
      </c>
      <c r="C381" s="198">
        <f t="shared" si="37"/>
        <v>52110</v>
      </c>
      <c r="D381" s="209">
        <f>IF(B381&lt;'信用保険料計算書（上限2000万）'!$E$15,0,IF(B381&gt;'信用保険料計算書（上限2000万）'!$E$16,0,1))</f>
        <v>0</v>
      </c>
      <c r="E381" s="209">
        <f>IF(D381=1,HLOOKUP(C381,'計算書（第1回）'!$C$123:$U$124,2,TRUE),0)</f>
        <v>0</v>
      </c>
      <c r="F381" s="209">
        <f>IF('信用保険料計算書（上限2000万）'!$G$15="",0,IF($B381&lt;'信用保険料計算書（上限2000万）'!$G$15,0,IF($B381&gt;'信用保険料計算書（上限2000万）'!$G$16,0,1)))</f>
        <v>0</v>
      </c>
      <c r="G381" s="209">
        <f>IF(F381=1,HLOOKUP(C381,'計算書（第2回）'!$C$123:$U$124,2,TRUE),0)</f>
        <v>0</v>
      </c>
      <c r="H381" s="209">
        <f>IF('信用保険料計算書（上限2000万）'!$I$15="",0,IF($B381&lt;'信用保険料計算書（上限2000万）'!$I$15,0,IF($B381&gt;'信用保険料計算書（上限2000万）'!$I$16,0,1)))</f>
        <v>0</v>
      </c>
      <c r="I381" s="209">
        <f>IF(H381=1,HLOOKUP(C381,'計算書（第3回）'!$C$123:$U$124,2,TRUE),0)</f>
        <v>0</v>
      </c>
      <c r="J381" s="209">
        <f>IF('信用保険料計算書（上限2000万）'!$K$15="",0,IF($B381&lt;'信用保険料計算書（上限2000万）'!$K$15,0,IF($B381&gt;'信用保険料計算書（上限2000万）'!$K$16,0,1)))</f>
        <v>0</v>
      </c>
      <c r="K381" s="209">
        <f>IF(J381=1,HLOOKUP(C381,'計算書（第4回）'!$C$123:$U$124,2,TRUE),0)</f>
        <v>0</v>
      </c>
      <c r="L381" s="209">
        <f>IF('信用保険料計算書（上限2000万）'!$M$15="",0,IF($B381&lt;'信用保険料計算書（上限2000万）'!$M$15,0,IF($B381&gt;'信用保険料計算書（上限2000万）'!$M$16,0,1)))</f>
        <v>0</v>
      </c>
      <c r="M381" s="209">
        <f>IF(L381=1,HLOOKUP(C381,'計算書（第5回）'!$C$123:$U$124,2,TRUE),0)</f>
        <v>0</v>
      </c>
      <c r="N381" s="209">
        <f>IF('信用保険料計算書（上限2000万）'!$O$15="",0,IF($B381&lt;'信用保険料計算書（上限2000万）'!$O$15,0,IF($B381&gt;'信用保険料計算書（上限2000万）'!$O$16,0,1)))</f>
        <v>0</v>
      </c>
      <c r="O381" s="209">
        <f>IF(N381=1,HLOOKUP(C381,'計算書（第6回）'!$C$123:$U$124,2,TRUE),0)</f>
        <v>0</v>
      </c>
      <c r="P381" s="209">
        <f>IF('信用保険料計算書（上限2000万）'!$Q$15="",0,IF($B381&lt;'信用保険料計算書（上限2000万）'!$Q$15,0,IF($B381&gt;'信用保険料計算書（上限2000万）'!$Q$16,0,1)))</f>
        <v>0</v>
      </c>
      <c r="Q381" s="209">
        <f>IF(P381=1,HLOOKUP(C381,'計算書（第7回）'!$C$123:$U$124,2,TRUE),0)</f>
        <v>0</v>
      </c>
      <c r="R381" s="213"/>
      <c r="S381" s="211">
        <f>COUNTIF($AB$13:$AB$19,"&lt;=2031/10/1")</f>
        <v>2</v>
      </c>
      <c r="T381" s="178">
        <f t="shared" si="40"/>
        <v>44743</v>
      </c>
      <c r="U381" s="181">
        <f t="shared" si="38"/>
        <v>0</v>
      </c>
      <c r="V381" s="182">
        <f t="shared" si="46"/>
        <v>0</v>
      </c>
      <c r="W381" s="245">
        <f t="shared" si="41"/>
        <v>0</v>
      </c>
      <c r="X381" s="182"/>
    </row>
    <row r="382" spans="2:24">
      <c r="B382" s="214">
        <f t="shared" si="39"/>
        <v>52171</v>
      </c>
      <c r="C382" s="198">
        <f t="shared" si="37"/>
        <v>52140</v>
      </c>
      <c r="D382" s="209">
        <f>IF(B382&lt;'信用保険料計算書（上限2000万）'!$E$15,0,IF(B382&gt;'信用保険料計算書（上限2000万）'!$E$16,0,1))</f>
        <v>0</v>
      </c>
      <c r="E382" s="209">
        <f>IF(D382=1,HLOOKUP(C382,'計算書（第1回）'!$C$123:$U$124,2,TRUE),0)</f>
        <v>0</v>
      </c>
      <c r="F382" s="209">
        <f>IF('信用保険料計算書（上限2000万）'!$G$15="",0,IF($B382&lt;'信用保険料計算書（上限2000万）'!$G$15,0,IF($B382&gt;'信用保険料計算書（上限2000万）'!$G$16,0,1)))</f>
        <v>0</v>
      </c>
      <c r="G382" s="209">
        <f>IF(F382=1,HLOOKUP(C382,'計算書（第2回）'!$C$123:$U$124,2,TRUE),0)</f>
        <v>0</v>
      </c>
      <c r="H382" s="209">
        <f>IF('信用保険料計算書（上限2000万）'!$I$15="",0,IF($B382&lt;'信用保険料計算書（上限2000万）'!$I$15,0,IF($B382&gt;'信用保険料計算書（上限2000万）'!$I$16,0,1)))</f>
        <v>0</v>
      </c>
      <c r="I382" s="209">
        <f>IF(H382=1,HLOOKUP(C382,'計算書（第3回）'!$C$123:$U$124,2,TRUE),0)</f>
        <v>0</v>
      </c>
      <c r="J382" s="209">
        <f>IF('信用保険料計算書（上限2000万）'!$K$15="",0,IF($B382&lt;'信用保険料計算書（上限2000万）'!$K$15,0,IF($B382&gt;'信用保険料計算書（上限2000万）'!$K$16,0,1)))</f>
        <v>0</v>
      </c>
      <c r="K382" s="209">
        <f>IF(J382=1,HLOOKUP(C382,'計算書（第4回）'!$C$123:$U$124,2,TRUE),0)</f>
        <v>0</v>
      </c>
      <c r="L382" s="209">
        <f>IF('信用保険料計算書（上限2000万）'!$M$15="",0,IF($B382&lt;'信用保険料計算書（上限2000万）'!$M$15,0,IF($B382&gt;'信用保険料計算書（上限2000万）'!$M$16,0,1)))</f>
        <v>0</v>
      </c>
      <c r="M382" s="209">
        <f>IF(L382=1,HLOOKUP(C382,'計算書（第5回）'!$C$123:$U$124,2,TRUE),0)</f>
        <v>0</v>
      </c>
      <c r="N382" s="209">
        <f>IF('信用保険料計算書（上限2000万）'!$O$15="",0,IF($B382&lt;'信用保険料計算書（上限2000万）'!$O$15,0,IF($B382&gt;'信用保険料計算書（上限2000万）'!$O$16,0,1)))</f>
        <v>0</v>
      </c>
      <c r="O382" s="209">
        <f>IF(N382=1,HLOOKUP(C382,'計算書（第6回）'!$C$123:$U$124,2,TRUE),0)</f>
        <v>0</v>
      </c>
      <c r="P382" s="209">
        <f>IF('信用保険料計算書（上限2000万）'!$Q$15="",0,IF($B382&lt;'信用保険料計算書（上限2000万）'!$Q$15,0,IF($B382&gt;'信用保険料計算書（上限2000万）'!$Q$16,0,1)))</f>
        <v>0</v>
      </c>
      <c r="Q382" s="209">
        <f>IF(P382=1,HLOOKUP(C382,'計算書（第7回）'!$C$123:$U$124,2,TRUE),0)</f>
        <v>0</v>
      </c>
      <c r="R382" s="213"/>
      <c r="S382" s="211">
        <f>COUNTIF($AB$13:$AB$19,"&lt;=2031/11/1")</f>
        <v>2</v>
      </c>
      <c r="T382" s="178">
        <f t="shared" si="40"/>
        <v>44743</v>
      </c>
      <c r="U382" s="181">
        <f t="shared" si="38"/>
        <v>0</v>
      </c>
      <c r="V382" s="182">
        <f t="shared" si="46"/>
        <v>0</v>
      </c>
      <c r="W382" s="245">
        <f t="shared" si="41"/>
        <v>0</v>
      </c>
      <c r="X382" s="182"/>
    </row>
    <row r="383" spans="2:24">
      <c r="B383" s="214">
        <f t="shared" si="39"/>
        <v>52201</v>
      </c>
      <c r="C383" s="198">
        <f t="shared" si="37"/>
        <v>52171</v>
      </c>
      <c r="D383" s="209">
        <f>IF(B383&lt;'信用保険料計算書（上限2000万）'!$E$15,0,IF(B383&gt;'信用保険料計算書（上限2000万）'!$E$16,0,1))</f>
        <v>0</v>
      </c>
      <c r="E383" s="209">
        <f>IF(D383=1,HLOOKUP(C383,'計算書（第1回）'!$C$123:$U$124,2,TRUE),0)</f>
        <v>0</v>
      </c>
      <c r="F383" s="209">
        <f>IF('信用保険料計算書（上限2000万）'!$G$15="",0,IF($B383&lt;'信用保険料計算書（上限2000万）'!$G$15,0,IF($B383&gt;'信用保険料計算書（上限2000万）'!$G$16,0,1)))</f>
        <v>0</v>
      </c>
      <c r="G383" s="209">
        <f>IF(F383=1,HLOOKUP(C383,'計算書（第2回）'!$C$123:$U$124,2,TRUE),0)</f>
        <v>0</v>
      </c>
      <c r="H383" s="209">
        <f>IF('信用保険料計算書（上限2000万）'!$I$15="",0,IF($B383&lt;'信用保険料計算書（上限2000万）'!$I$15,0,IF($B383&gt;'信用保険料計算書（上限2000万）'!$I$16,0,1)))</f>
        <v>0</v>
      </c>
      <c r="I383" s="209">
        <f>IF(H383=1,HLOOKUP(C383,'計算書（第3回）'!$C$123:$U$124,2,TRUE),0)</f>
        <v>0</v>
      </c>
      <c r="J383" s="209">
        <f>IF('信用保険料計算書（上限2000万）'!$K$15="",0,IF($B383&lt;'信用保険料計算書（上限2000万）'!$K$15,0,IF($B383&gt;'信用保険料計算書（上限2000万）'!$K$16,0,1)))</f>
        <v>0</v>
      </c>
      <c r="K383" s="209">
        <f>IF(J383=1,HLOOKUP(C383,'計算書（第4回）'!$C$123:$U$124,2,TRUE),0)</f>
        <v>0</v>
      </c>
      <c r="L383" s="209">
        <f>IF('信用保険料計算書（上限2000万）'!$M$15="",0,IF($B383&lt;'信用保険料計算書（上限2000万）'!$M$15,0,IF($B383&gt;'信用保険料計算書（上限2000万）'!$M$16,0,1)))</f>
        <v>0</v>
      </c>
      <c r="M383" s="209">
        <f>IF(L383=1,HLOOKUP(C383,'計算書（第5回）'!$C$123:$U$124,2,TRUE),0)</f>
        <v>0</v>
      </c>
      <c r="N383" s="209">
        <f>IF('信用保険料計算書（上限2000万）'!$O$15="",0,IF($B383&lt;'信用保険料計算書（上限2000万）'!$O$15,0,IF($B383&gt;'信用保険料計算書（上限2000万）'!$O$16,0,1)))</f>
        <v>0</v>
      </c>
      <c r="O383" s="209">
        <f>IF(N383=1,HLOOKUP(C383,'計算書（第6回）'!$C$123:$U$124,2,TRUE),0)</f>
        <v>0</v>
      </c>
      <c r="P383" s="209">
        <f>IF('信用保険料計算書（上限2000万）'!$Q$15="",0,IF($B383&lt;'信用保険料計算書（上限2000万）'!$Q$15,0,IF($B383&gt;'信用保険料計算書（上限2000万）'!$Q$16,0,1)))</f>
        <v>0</v>
      </c>
      <c r="Q383" s="209">
        <f>IF(P383=1,HLOOKUP(C383,'計算書（第7回）'!$C$123:$U$124,2,TRUE),0)</f>
        <v>0</v>
      </c>
      <c r="R383" s="213"/>
      <c r="S383" s="211">
        <f>COUNTIF($AB$13:$AB$19,"&lt;=2031/12/1")</f>
        <v>2</v>
      </c>
      <c r="T383" s="178">
        <f t="shared" si="40"/>
        <v>44743</v>
      </c>
      <c r="U383" s="181">
        <f t="shared" si="38"/>
        <v>0</v>
      </c>
      <c r="V383" s="182">
        <f t="shared" si="46"/>
        <v>0</v>
      </c>
      <c r="W383" s="245">
        <f t="shared" si="41"/>
        <v>0</v>
      </c>
      <c r="X383" s="182"/>
    </row>
    <row r="384" spans="2:24">
      <c r="B384" s="214">
        <f t="shared" si="39"/>
        <v>52232</v>
      </c>
      <c r="C384" s="198">
        <f t="shared" si="37"/>
        <v>52201</v>
      </c>
      <c r="D384" s="209">
        <f>IF(B384&lt;'信用保険料計算書（上限2000万）'!$E$15,0,IF(B384&gt;'信用保険料計算書（上限2000万）'!$E$16,0,1))</f>
        <v>0</v>
      </c>
      <c r="E384" s="209">
        <f>IF(D384=1,HLOOKUP(C384,'計算書（第1回）'!$C$123:$U$124,2,TRUE),0)</f>
        <v>0</v>
      </c>
      <c r="F384" s="209">
        <f>IF('信用保険料計算書（上限2000万）'!$G$15="",0,IF($B384&lt;'信用保険料計算書（上限2000万）'!$G$15,0,IF($B384&gt;'信用保険料計算書（上限2000万）'!$G$16,0,1)))</f>
        <v>0</v>
      </c>
      <c r="G384" s="209">
        <f>IF(F384=1,HLOOKUP(C384,'計算書（第2回）'!$C$123:$U$124,2,TRUE),0)</f>
        <v>0</v>
      </c>
      <c r="H384" s="209">
        <f>IF('信用保険料計算書（上限2000万）'!$I$15="",0,IF($B384&lt;'信用保険料計算書（上限2000万）'!$I$15,0,IF($B384&gt;'信用保険料計算書（上限2000万）'!$I$16,0,1)))</f>
        <v>0</v>
      </c>
      <c r="I384" s="209">
        <f>IF(H384=1,HLOOKUP(C384,'計算書（第3回）'!$C$123:$U$124,2,TRUE),0)</f>
        <v>0</v>
      </c>
      <c r="J384" s="209">
        <f>IF('信用保険料計算書（上限2000万）'!$K$15="",0,IF($B384&lt;'信用保険料計算書（上限2000万）'!$K$15,0,IF($B384&gt;'信用保険料計算書（上限2000万）'!$K$16,0,1)))</f>
        <v>0</v>
      </c>
      <c r="K384" s="209">
        <f>IF(J384=1,HLOOKUP(C384,'計算書（第4回）'!$C$123:$U$124,2,TRUE),0)</f>
        <v>0</v>
      </c>
      <c r="L384" s="209">
        <f>IF('信用保険料計算書（上限2000万）'!$M$15="",0,IF($B384&lt;'信用保険料計算書（上限2000万）'!$M$15,0,IF($B384&gt;'信用保険料計算書（上限2000万）'!$M$16,0,1)))</f>
        <v>0</v>
      </c>
      <c r="M384" s="209">
        <f>IF(L384=1,HLOOKUP(C384,'計算書（第5回）'!$C$123:$U$124,2,TRUE),0)</f>
        <v>0</v>
      </c>
      <c r="N384" s="209">
        <f>IF('信用保険料計算書（上限2000万）'!$O$15="",0,IF($B384&lt;'信用保険料計算書（上限2000万）'!$O$15,0,IF($B384&gt;'信用保険料計算書（上限2000万）'!$O$16,0,1)))</f>
        <v>0</v>
      </c>
      <c r="O384" s="209">
        <f>IF(N384=1,HLOOKUP(C384,'計算書（第6回）'!$C$123:$U$124,2,TRUE),0)</f>
        <v>0</v>
      </c>
      <c r="P384" s="209">
        <f>IF('信用保険料計算書（上限2000万）'!$Q$15="",0,IF($B384&lt;'信用保険料計算書（上限2000万）'!$Q$15,0,IF($B384&gt;'信用保険料計算書（上限2000万）'!$Q$16,0,1)))</f>
        <v>0</v>
      </c>
      <c r="Q384" s="209">
        <f>IF(P384=1,HLOOKUP(C384,'計算書（第7回）'!$C$123:$U$124,2,TRUE),0)</f>
        <v>0</v>
      </c>
      <c r="R384" s="212"/>
      <c r="S384" s="211">
        <f>COUNTIF($AB$13:$AB$19,"&lt;=2032/1/1")</f>
        <v>2</v>
      </c>
      <c r="T384" s="178">
        <f t="shared" si="40"/>
        <v>44743</v>
      </c>
      <c r="U384" s="181">
        <f t="shared" si="38"/>
        <v>0</v>
      </c>
      <c r="V384" s="182">
        <f t="shared" si="46"/>
        <v>0</v>
      </c>
      <c r="W384" s="245">
        <f t="shared" si="41"/>
        <v>0</v>
      </c>
      <c r="X384" s="182"/>
    </row>
    <row r="385" spans="2:24">
      <c r="B385" s="214">
        <f t="shared" si="39"/>
        <v>52263</v>
      </c>
      <c r="C385" s="198">
        <f t="shared" si="37"/>
        <v>52232</v>
      </c>
      <c r="D385" s="209">
        <f>IF(B385&lt;'信用保険料計算書（上限2000万）'!$E$15,0,IF(B385&gt;'信用保険料計算書（上限2000万）'!$E$16,0,1))</f>
        <v>0</v>
      </c>
      <c r="E385" s="209">
        <f>IF(D385=1,HLOOKUP(C385,'計算書（第1回）'!$C$123:$U$124,2,TRUE),0)</f>
        <v>0</v>
      </c>
      <c r="F385" s="209">
        <f>IF('信用保険料計算書（上限2000万）'!$G$15="",0,IF($B385&lt;'信用保険料計算書（上限2000万）'!$G$15,0,IF($B385&gt;'信用保険料計算書（上限2000万）'!$G$16,0,1)))</f>
        <v>0</v>
      </c>
      <c r="G385" s="209">
        <f>IF(F385=1,HLOOKUP(C385,'計算書（第2回）'!$C$123:$U$124,2,TRUE),0)</f>
        <v>0</v>
      </c>
      <c r="H385" s="209">
        <f>IF('信用保険料計算書（上限2000万）'!$I$15="",0,IF($B385&lt;'信用保険料計算書（上限2000万）'!$I$15,0,IF($B385&gt;'信用保険料計算書（上限2000万）'!$I$16,0,1)))</f>
        <v>0</v>
      </c>
      <c r="I385" s="209">
        <f>IF(H385=1,HLOOKUP(C385,'計算書（第3回）'!$C$123:$U$124,2,TRUE),0)</f>
        <v>0</v>
      </c>
      <c r="J385" s="209">
        <f>IF('信用保険料計算書（上限2000万）'!$K$15="",0,IF($B385&lt;'信用保険料計算書（上限2000万）'!$K$15,0,IF($B385&gt;'信用保険料計算書（上限2000万）'!$K$16,0,1)))</f>
        <v>0</v>
      </c>
      <c r="K385" s="209">
        <f>IF(J385=1,HLOOKUP(C385,'計算書（第4回）'!$C$123:$U$124,2,TRUE),0)</f>
        <v>0</v>
      </c>
      <c r="L385" s="209">
        <f>IF('信用保険料計算書（上限2000万）'!$M$15="",0,IF($B385&lt;'信用保険料計算書（上限2000万）'!$M$15,0,IF($B385&gt;'信用保険料計算書（上限2000万）'!$M$16,0,1)))</f>
        <v>0</v>
      </c>
      <c r="M385" s="209">
        <f>IF(L385=1,HLOOKUP(C385,'計算書（第5回）'!$C$123:$U$124,2,TRUE),0)</f>
        <v>0</v>
      </c>
      <c r="N385" s="209">
        <f>IF('信用保険料計算書（上限2000万）'!$O$15="",0,IF($B385&lt;'信用保険料計算書（上限2000万）'!$O$15,0,IF($B385&gt;'信用保険料計算書（上限2000万）'!$O$16,0,1)))</f>
        <v>0</v>
      </c>
      <c r="O385" s="209">
        <f>IF(N385=1,HLOOKUP(C385,'計算書（第6回）'!$C$123:$U$124,2,TRUE),0)</f>
        <v>0</v>
      </c>
      <c r="P385" s="209">
        <f>IF('信用保険料計算書（上限2000万）'!$Q$15="",0,IF($B385&lt;'信用保険料計算書（上限2000万）'!$Q$15,0,IF($B385&gt;'信用保険料計算書（上限2000万）'!$Q$16,0,1)))</f>
        <v>0</v>
      </c>
      <c r="Q385" s="209">
        <f>IF(P385=1,HLOOKUP(C385,'計算書（第7回）'!$C$123:$U$124,2,TRUE),0)</f>
        <v>0</v>
      </c>
      <c r="R385" s="212"/>
      <c r="S385" s="211">
        <f>COUNTIF($AB$13:$AB$19,"&lt;=2032/2/1")</f>
        <v>2</v>
      </c>
      <c r="T385" s="178">
        <f t="shared" si="40"/>
        <v>44743</v>
      </c>
      <c r="U385" s="181">
        <f t="shared" si="38"/>
        <v>0</v>
      </c>
      <c r="V385" s="182">
        <f t="shared" si="46"/>
        <v>0</v>
      </c>
      <c r="W385" s="245">
        <f t="shared" si="41"/>
        <v>0</v>
      </c>
      <c r="X385" s="182"/>
    </row>
    <row r="386" spans="2:24">
      <c r="B386" s="214">
        <f t="shared" si="39"/>
        <v>52291</v>
      </c>
      <c r="C386" s="198">
        <f t="shared" si="37"/>
        <v>52263</v>
      </c>
      <c r="D386" s="209">
        <f>IF(B386&lt;'信用保険料計算書（上限2000万）'!$E$15,0,IF(B386&gt;'信用保険料計算書（上限2000万）'!$E$16,0,1))</f>
        <v>0</v>
      </c>
      <c r="E386" s="209">
        <f>IF(D386=1,HLOOKUP(C386,'計算書（第1回）'!$C$123:$U$124,2,TRUE),0)</f>
        <v>0</v>
      </c>
      <c r="F386" s="209">
        <f>IF('信用保険料計算書（上限2000万）'!$G$15="",0,IF($B386&lt;'信用保険料計算書（上限2000万）'!$G$15,0,IF($B386&gt;'信用保険料計算書（上限2000万）'!$G$16,0,1)))</f>
        <v>0</v>
      </c>
      <c r="G386" s="209">
        <f>IF(F386=1,HLOOKUP(C386,'計算書（第2回）'!$C$123:$U$124,2,TRUE),0)</f>
        <v>0</v>
      </c>
      <c r="H386" s="209">
        <f>IF('信用保険料計算書（上限2000万）'!$I$15="",0,IF($B386&lt;'信用保険料計算書（上限2000万）'!$I$15,0,IF($B386&gt;'信用保険料計算書（上限2000万）'!$I$16,0,1)))</f>
        <v>0</v>
      </c>
      <c r="I386" s="209">
        <f>IF(H386=1,HLOOKUP(C386,'計算書（第3回）'!$C$123:$U$124,2,TRUE),0)</f>
        <v>0</v>
      </c>
      <c r="J386" s="209">
        <f>IF('信用保険料計算書（上限2000万）'!$K$15="",0,IF($B386&lt;'信用保険料計算書（上限2000万）'!$K$15,0,IF($B386&gt;'信用保険料計算書（上限2000万）'!$K$16,0,1)))</f>
        <v>0</v>
      </c>
      <c r="K386" s="209">
        <f>IF(J386=1,HLOOKUP(C386,'計算書（第4回）'!$C$123:$U$124,2,TRUE),0)</f>
        <v>0</v>
      </c>
      <c r="L386" s="209">
        <f>IF('信用保険料計算書（上限2000万）'!$M$15="",0,IF($B386&lt;'信用保険料計算書（上限2000万）'!$M$15,0,IF($B386&gt;'信用保険料計算書（上限2000万）'!$M$16,0,1)))</f>
        <v>0</v>
      </c>
      <c r="M386" s="209">
        <f>IF(L386=1,HLOOKUP(C386,'計算書（第5回）'!$C$123:$U$124,2,TRUE),0)</f>
        <v>0</v>
      </c>
      <c r="N386" s="209">
        <f>IF('信用保険料計算書（上限2000万）'!$O$15="",0,IF($B386&lt;'信用保険料計算書（上限2000万）'!$O$15,0,IF($B386&gt;'信用保険料計算書（上限2000万）'!$O$16,0,1)))</f>
        <v>0</v>
      </c>
      <c r="O386" s="209">
        <f>IF(N386=1,HLOOKUP(C386,'計算書（第6回）'!$C$123:$U$124,2,TRUE),0)</f>
        <v>0</v>
      </c>
      <c r="P386" s="209">
        <f>IF('信用保険料計算書（上限2000万）'!$Q$15="",0,IF($B386&lt;'信用保険料計算書（上限2000万）'!$Q$15,0,IF($B386&gt;'信用保険料計算書（上限2000万）'!$Q$16,0,1)))</f>
        <v>0</v>
      </c>
      <c r="Q386" s="209">
        <f>IF(P386=1,HLOOKUP(C386,'計算書（第7回）'!$C$123:$U$124,2,TRUE),0)</f>
        <v>0</v>
      </c>
      <c r="R386" s="212"/>
      <c r="S386" s="211">
        <f>COUNTIF($AB$13:$AB$19,"&lt;=2032/3/1")</f>
        <v>2</v>
      </c>
      <c r="T386" s="178">
        <f t="shared" si="40"/>
        <v>44743</v>
      </c>
      <c r="U386" s="181">
        <f t="shared" si="38"/>
        <v>0</v>
      </c>
      <c r="V386" s="182">
        <f t="shared" si="46"/>
        <v>0</v>
      </c>
      <c r="W386" s="245">
        <f t="shared" si="41"/>
        <v>0</v>
      </c>
      <c r="X386" s="183">
        <f>INT(SUM(W381:W386))</f>
        <v>0</v>
      </c>
    </row>
    <row r="387" spans="2:24">
      <c r="B387" s="214">
        <f t="shared" si="39"/>
        <v>52322</v>
      </c>
      <c r="C387" s="198">
        <f t="shared" ref="C387:C474" si="47">EDATE(B387,-1)</f>
        <v>52291</v>
      </c>
      <c r="D387" s="209">
        <f>IF(B387&lt;'信用保険料計算書（上限2000万）'!$E$15,0,IF(B387&gt;'信用保険料計算書（上限2000万）'!$E$16,0,1))</f>
        <v>0</v>
      </c>
      <c r="E387" s="209">
        <f>IF(D387=1,HLOOKUP(C387,'計算書（第1回）'!$C$123:$U$124,2,TRUE),0)</f>
        <v>0</v>
      </c>
      <c r="F387" s="209">
        <f>IF('信用保険料計算書（上限2000万）'!$G$15="",0,IF($B387&lt;'信用保険料計算書（上限2000万）'!$G$15,0,IF($B387&gt;'信用保険料計算書（上限2000万）'!$G$16,0,1)))</f>
        <v>0</v>
      </c>
      <c r="G387" s="209">
        <f>IF(F387=1,HLOOKUP(C387,'計算書（第2回）'!$C$123:$U$124,2,TRUE),0)</f>
        <v>0</v>
      </c>
      <c r="H387" s="209">
        <f>IF('信用保険料計算書（上限2000万）'!$I$15="",0,IF($B387&lt;'信用保険料計算書（上限2000万）'!$I$15,0,IF($B387&gt;'信用保険料計算書（上限2000万）'!$I$16,0,1)))</f>
        <v>0</v>
      </c>
      <c r="I387" s="209">
        <f>IF(H387=1,HLOOKUP(C387,'計算書（第3回）'!$C$123:$U$124,2,TRUE),0)</f>
        <v>0</v>
      </c>
      <c r="J387" s="209">
        <f>IF('信用保険料計算書（上限2000万）'!$K$15="",0,IF($B387&lt;'信用保険料計算書（上限2000万）'!$K$15,0,IF($B387&gt;'信用保険料計算書（上限2000万）'!$K$16,0,1)))</f>
        <v>0</v>
      </c>
      <c r="K387" s="209">
        <f>IF(J387=1,HLOOKUP(C387,'計算書（第4回）'!$C$123:$U$124,2,TRUE),0)</f>
        <v>0</v>
      </c>
      <c r="L387" s="209">
        <f>IF('信用保険料計算書（上限2000万）'!$M$15="",0,IF($B387&lt;'信用保険料計算書（上限2000万）'!$M$15,0,IF($B387&gt;'信用保険料計算書（上限2000万）'!$M$16,0,1)))</f>
        <v>0</v>
      </c>
      <c r="M387" s="209">
        <f>IF(L387=1,HLOOKUP(C387,'計算書（第5回）'!$C$123:$U$124,2,TRUE),0)</f>
        <v>0</v>
      </c>
      <c r="N387" s="209">
        <f>IF('信用保険料計算書（上限2000万）'!$O$15="",0,IF($B387&lt;'信用保険料計算書（上限2000万）'!$O$15,0,IF($B387&gt;'信用保険料計算書（上限2000万）'!$O$16,0,1)))</f>
        <v>0</v>
      </c>
      <c r="O387" s="209">
        <f>IF(N387=1,HLOOKUP(C387,'計算書（第6回）'!$C$123:$U$124,2,TRUE),0)</f>
        <v>0</v>
      </c>
      <c r="P387" s="209">
        <f>IF('信用保険料計算書（上限2000万）'!$Q$15="",0,IF($B387&lt;'信用保険料計算書（上限2000万）'!$Q$15,0,IF($B387&gt;'信用保険料計算書（上限2000万）'!$Q$16,0,1)))</f>
        <v>0</v>
      </c>
      <c r="Q387" s="209">
        <f>IF(P387=1,HLOOKUP(C387,'計算書（第7回）'!$C$123:$U$124,2,TRUE),0)</f>
        <v>0</v>
      </c>
      <c r="R387" s="213"/>
      <c r="S387" s="211">
        <f>COUNTIF($AB$13:$AB$19,"&lt;=2031/4/1")</f>
        <v>2</v>
      </c>
      <c r="T387" s="178">
        <f t="shared" si="40"/>
        <v>44743</v>
      </c>
      <c r="U387" s="181">
        <f t="shared" ref="U387:U474" si="48">E387+G387+I387+K387+M387+O387+Q387</f>
        <v>0</v>
      </c>
      <c r="V387" s="182">
        <f t="shared" ref="V387:V398" si="49">IF(U387=0,0,IF(U387&gt;VLOOKUP(T387,$AA$5:$AB$8,2,TRUE),VLOOKUP(T387,$AA$5:$AB$8,2,TRUE),U387))</f>
        <v>0</v>
      </c>
      <c r="W387" s="245">
        <f t="shared" si="41"/>
        <v>0</v>
      </c>
      <c r="X387" s="182"/>
    </row>
    <row r="388" spans="2:24">
      <c r="B388" s="214">
        <f t="shared" ref="B388:B475" si="50">EDATE(B387,1)</f>
        <v>52352</v>
      </c>
      <c r="C388" s="198">
        <f t="shared" si="47"/>
        <v>52322</v>
      </c>
      <c r="D388" s="209">
        <f>IF(B388&lt;'信用保険料計算書（上限2000万）'!$E$15,0,IF(B388&gt;'信用保険料計算書（上限2000万）'!$E$16,0,1))</f>
        <v>0</v>
      </c>
      <c r="E388" s="209">
        <f>IF(D388=1,HLOOKUP(C388,'計算書（第1回）'!$C$123:$U$124,2,TRUE),0)</f>
        <v>0</v>
      </c>
      <c r="F388" s="209">
        <f>IF('信用保険料計算書（上限2000万）'!$G$15="",0,IF($B388&lt;'信用保険料計算書（上限2000万）'!$G$15,0,IF($B388&gt;'信用保険料計算書（上限2000万）'!$G$16,0,1)))</f>
        <v>0</v>
      </c>
      <c r="G388" s="209">
        <f>IF(F388=1,HLOOKUP(C388,'計算書（第2回）'!$C$123:$U$124,2,TRUE),0)</f>
        <v>0</v>
      </c>
      <c r="H388" s="209">
        <f>IF('信用保険料計算書（上限2000万）'!$I$15="",0,IF($B388&lt;'信用保険料計算書（上限2000万）'!$I$15,0,IF($B388&gt;'信用保険料計算書（上限2000万）'!$I$16,0,1)))</f>
        <v>0</v>
      </c>
      <c r="I388" s="209">
        <f>IF(H388=1,HLOOKUP(C388,'計算書（第3回）'!$C$123:$U$124,2,TRUE),0)</f>
        <v>0</v>
      </c>
      <c r="J388" s="209">
        <f>IF('信用保険料計算書（上限2000万）'!$K$15="",0,IF($B388&lt;'信用保険料計算書（上限2000万）'!$K$15,0,IF($B388&gt;'信用保険料計算書（上限2000万）'!$K$16,0,1)))</f>
        <v>0</v>
      </c>
      <c r="K388" s="209">
        <f>IF(J388=1,HLOOKUP(C388,'計算書（第4回）'!$C$123:$U$124,2,TRUE),0)</f>
        <v>0</v>
      </c>
      <c r="L388" s="209">
        <f>IF('信用保険料計算書（上限2000万）'!$M$15="",0,IF($B388&lt;'信用保険料計算書（上限2000万）'!$M$15,0,IF($B388&gt;'信用保険料計算書（上限2000万）'!$M$16,0,1)))</f>
        <v>0</v>
      </c>
      <c r="M388" s="209">
        <f>IF(L388=1,HLOOKUP(C388,'計算書（第5回）'!$C$123:$U$124,2,TRUE),0)</f>
        <v>0</v>
      </c>
      <c r="N388" s="209">
        <f>IF('信用保険料計算書（上限2000万）'!$O$15="",0,IF($B388&lt;'信用保険料計算書（上限2000万）'!$O$15,0,IF($B388&gt;'信用保険料計算書（上限2000万）'!$O$16,0,1)))</f>
        <v>0</v>
      </c>
      <c r="O388" s="209">
        <f>IF(N388=1,HLOOKUP(C388,'計算書（第6回）'!$C$123:$U$124,2,TRUE),0)</f>
        <v>0</v>
      </c>
      <c r="P388" s="209">
        <f>IF('信用保険料計算書（上限2000万）'!$Q$15="",0,IF($B388&lt;'信用保険料計算書（上限2000万）'!$Q$15,0,IF($B388&gt;'信用保険料計算書（上限2000万）'!$Q$16,0,1)))</f>
        <v>0</v>
      </c>
      <c r="Q388" s="209">
        <f>IF(P388=1,HLOOKUP(C388,'計算書（第7回）'!$C$123:$U$124,2,TRUE),0)</f>
        <v>0</v>
      </c>
      <c r="R388" s="213"/>
      <c r="S388" s="211">
        <f>COUNTIF($AB$13:$AB$19,"&lt;=2031/5/1")</f>
        <v>2</v>
      </c>
      <c r="T388" s="178">
        <f t="shared" ref="T388:T475" si="51">IF(S388="","",SMALL($AB$13:$AB$19,$S388))</f>
        <v>44743</v>
      </c>
      <c r="U388" s="181">
        <f t="shared" si="48"/>
        <v>0</v>
      </c>
      <c r="V388" s="182">
        <f t="shared" si="49"/>
        <v>0</v>
      </c>
      <c r="W388" s="245">
        <f t="shared" ref="W388:W451" si="52">IF(V388=0,0,ROUNDDOWN(V388*0.0048/12,2))</f>
        <v>0</v>
      </c>
      <c r="X388" s="182"/>
    </row>
    <row r="389" spans="2:24">
      <c r="B389" s="214">
        <f t="shared" si="50"/>
        <v>52383</v>
      </c>
      <c r="C389" s="198">
        <f t="shared" si="47"/>
        <v>52352</v>
      </c>
      <c r="D389" s="209">
        <f>IF(B389&lt;'信用保険料計算書（上限2000万）'!$E$15,0,IF(B389&gt;'信用保険料計算書（上限2000万）'!$E$16,0,1))</f>
        <v>0</v>
      </c>
      <c r="E389" s="209">
        <f>IF(D389=1,HLOOKUP(C389,'計算書（第1回）'!$C$123:$U$124,2,TRUE),0)</f>
        <v>0</v>
      </c>
      <c r="F389" s="209">
        <f>IF('信用保険料計算書（上限2000万）'!$G$15="",0,IF($B389&lt;'信用保険料計算書（上限2000万）'!$G$15,0,IF($B389&gt;'信用保険料計算書（上限2000万）'!$G$16,0,1)))</f>
        <v>0</v>
      </c>
      <c r="G389" s="209">
        <f>IF(F389=1,HLOOKUP(C389,'計算書（第2回）'!$C$123:$U$124,2,TRUE),0)</f>
        <v>0</v>
      </c>
      <c r="H389" s="209">
        <f>IF('信用保険料計算書（上限2000万）'!$I$15="",0,IF($B389&lt;'信用保険料計算書（上限2000万）'!$I$15,0,IF($B389&gt;'信用保険料計算書（上限2000万）'!$I$16,0,1)))</f>
        <v>0</v>
      </c>
      <c r="I389" s="209">
        <f>IF(H389=1,HLOOKUP(C389,'計算書（第3回）'!$C$123:$U$124,2,TRUE),0)</f>
        <v>0</v>
      </c>
      <c r="J389" s="209">
        <f>IF('信用保険料計算書（上限2000万）'!$K$15="",0,IF($B389&lt;'信用保険料計算書（上限2000万）'!$K$15,0,IF($B389&gt;'信用保険料計算書（上限2000万）'!$K$16,0,1)))</f>
        <v>0</v>
      </c>
      <c r="K389" s="209">
        <f>IF(J389=1,HLOOKUP(C389,'計算書（第4回）'!$C$123:$U$124,2,TRUE),0)</f>
        <v>0</v>
      </c>
      <c r="L389" s="209">
        <f>IF('信用保険料計算書（上限2000万）'!$M$15="",0,IF($B389&lt;'信用保険料計算書（上限2000万）'!$M$15,0,IF($B389&gt;'信用保険料計算書（上限2000万）'!$M$16,0,1)))</f>
        <v>0</v>
      </c>
      <c r="M389" s="209">
        <f>IF(L389=1,HLOOKUP(C389,'計算書（第5回）'!$C$123:$U$124,2,TRUE),0)</f>
        <v>0</v>
      </c>
      <c r="N389" s="209">
        <f>IF('信用保険料計算書（上限2000万）'!$O$15="",0,IF($B389&lt;'信用保険料計算書（上限2000万）'!$O$15,0,IF($B389&gt;'信用保険料計算書（上限2000万）'!$O$16,0,1)))</f>
        <v>0</v>
      </c>
      <c r="O389" s="209">
        <f>IF(N389=1,HLOOKUP(C389,'計算書（第6回）'!$C$123:$U$124,2,TRUE),0)</f>
        <v>0</v>
      </c>
      <c r="P389" s="209">
        <f>IF('信用保険料計算書（上限2000万）'!$Q$15="",0,IF($B389&lt;'信用保険料計算書（上限2000万）'!$Q$15,0,IF($B389&gt;'信用保険料計算書（上限2000万）'!$Q$16,0,1)))</f>
        <v>0</v>
      </c>
      <c r="Q389" s="209">
        <f>IF(P389=1,HLOOKUP(C389,'計算書（第7回）'!$C$123:$U$124,2,TRUE),0)</f>
        <v>0</v>
      </c>
      <c r="R389" s="213"/>
      <c r="S389" s="211">
        <f>COUNTIF($AB$13:$AB$19,"&lt;=2031/6/1")</f>
        <v>2</v>
      </c>
      <c r="T389" s="178">
        <f t="shared" si="51"/>
        <v>44743</v>
      </c>
      <c r="U389" s="181">
        <f t="shared" si="48"/>
        <v>0</v>
      </c>
      <c r="V389" s="182">
        <f t="shared" si="49"/>
        <v>0</v>
      </c>
      <c r="W389" s="245">
        <f t="shared" si="52"/>
        <v>0</v>
      </c>
      <c r="X389" s="182"/>
    </row>
    <row r="390" spans="2:24">
      <c r="B390" s="214">
        <f t="shared" si="50"/>
        <v>52413</v>
      </c>
      <c r="C390" s="198">
        <f t="shared" si="47"/>
        <v>52383</v>
      </c>
      <c r="D390" s="209">
        <f>IF(B390&lt;'信用保険料計算書（上限2000万）'!$E$15,0,IF(B390&gt;'信用保険料計算書（上限2000万）'!$E$16,0,1))</f>
        <v>0</v>
      </c>
      <c r="E390" s="209">
        <f>IF(D390=1,HLOOKUP(C390,'計算書（第1回）'!$C$123:$U$124,2,TRUE),0)</f>
        <v>0</v>
      </c>
      <c r="F390" s="209">
        <f>IF('信用保険料計算書（上限2000万）'!$G$15="",0,IF($B390&lt;'信用保険料計算書（上限2000万）'!$G$15,0,IF($B390&gt;'信用保険料計算書（上限2000万）'!$G$16,0,1)))</f>
        <v>0</v>
      </c>
      <c r="G390" s="209">
        <f>IF(F390=1,HLOOKUP(C390,'計算書（第2回）'!$C$123:$U$124,2,TRUE),0)</f>
        <v>0</v>
      </c>
      <c r="H390" s="209">
        <f>IF('信用保険料計算書（上限2000万）'!$I$15="",0,IF($B390&lt;'信用保険料計算書（上限2000万）'!$I$15,0,IF($B390&gt;'信用保険料計算書（上限2000万）'!$I$16,0,1)))</f>
        <v>0</v>
      </c>
      <c r="I390" s="209">
        <f>IF(H390=1,HLOOKUP(C390,'計算書（第3回）'!$C$123:$U$124,2,TRUE),0)</f>
        <v>0</v>
      </c>
      <c r="J390" s="209">
        <f>IF('信用保険料計算書（上限2000万）'!$K$15="",0,IF($B390&lt;'信用保険料計算書（上限2000万）'!$K$15,0,IF($B390&gt;'信用保険料計算書（上限2000万）'!$K$16,0,1)))</f>
        <v>0</v>
      </c>
      <c r="K390" s="209">
        <f>IF(J390=1,HLOOKUP(C390,'計算書（第4回）'!$C$123:$U$124,2,TRUE),0)</f>
        <v>0</v>
      </c>
      <c r="L390" s="209">
        <f>IF('信用保険料計算書（上限2000万）'!$M$15="",0,IF($B390&lt;'信用保険料計算書（上限2000万）'!$M$15,0,IF($B390&gt;'信用保険料計算書（上限2000万）'!$M$16,0,1)))</f>
        <v>0</v>
      </c>
      <c r="M390" s="209">
        <f>IF(L390=1,HLOOKUP(C390,'計算書（第5回）'!$C$123:$U$124,2,TRUE),0)</f>
        <v>0</v>
      </c>
      <c r="N390" s="209">
        <f>IF('信用保険料計算書（上限2000万）'!$O$15="",0,IF($B390&lt;'信用保険料計算書（上限2000万）'!$O$15,0,IF($B390&gt;'信用保険料計算書（上限2000万）'!$O$16,0,1)))</f>
        <v>0</v>
      </c>
      <c r="O390" s="209">
        <f>IF(N390=1,HLOOKUP(C390,'計算書（第6回）'!$C$123:$U$124,2,TRUE),0)</f>
        <v>0</v>
      </c>
      <c r="P390" s="209">
        <f>IF('信用保険料計算書（上限2000万）'!$Q$15="",0,IF($B390&lt;'信用保険料計算書（上限2000万）'!$Q$15,0,IF($B390&gt;'信用保険料計算書（上限2000万）'!$Q$16,0,1)))</f>
        <v>0</v>
      </c>
      <c r="Q390" s="209">
        <f>IF(P390=1,HLOOKUP(C390,'計算書（第7回）'!$C$123:$U$124,2,TRUE),0)</f>
        <v>0</v>
      </c>
      <c r="R390" s="213"/>
      <c r="S390" s="211">
        <f>COUNTIF($AB$13:$AB$19,"&lt;=2031/7/1")</f>
        <v>2</v>
      </c>
      <c r="T390" s="178">
        <f t="shared" si="51"/>
        <v>44743</v>
      </c>
      <c r="U390" s="181">
        <f t="shared" si="48"/>
        <v>0</v>
      </c>
      <c r="V390" s="182">
        <f t="shared" si="49"/>
        <v>0</v>
      </c>
      <c r="W390" s="245">
        <f t="shared" si="52"/>
        <v>0</v>
      </c>
      <c r="X390" s="182"/>
    </row>
    <row r="391" spans="2:24">
      <c r="B391" s="214">
        <f t="shared" si="50"/>
        <v>52444</v>
      </c>
      <c r="C391" s="198">
        <f t="shared" si="47"/>
        <v>52413</v>
      </c>
      <c r="D391" s="209">
        <f>IF(B391&lt;'信用保険料計算書（上限2000万）'!$E$15,0,IF(B391&gt;'信用保険料計算書（上限2000万）'!$E$16,0,1))</f>
        <v>0</v>
      </c>
      <c r="E391" s="209">
        <f>IF(D391=1,HLOOKUP(C391,'計算書（第1回）'!$C$123:$U$124,2,TRUE),0)</f>
        <v>0</v>
      </c>
      <c r="F391" s="209">
        <f>IF('信用保険料計算書（上限2000万）'!$G$15="",0,IF($B391&lt;'信用保険料計算書（上限2000万）'!$G$15,0,IF($B391&gt;'信用保険料計算書（上限2000万）'!$G$16,0,1)))</f>
        <v>0</v>
      </c>
      <c r="G391" s="209">
        <f>IF(F391=1,HLOOKUP(C391,'計算書（第2回）'!$C$123:$U$124,2,TRUE),0)</f>
        <v>0</v>
      </c>
      <c r="H391" s="209">
        <f>IF('信用保険料計算書（上限2000万）'!$I$15="",0,IF($B391&lt;'信用保険料計算書（上限2000万）'!$I$15,0,IF($B391&gt;'信用保険料計算書（上限2000万）'!$I$16,0,1)))</f>
        <v>0</v>
      </c>
      <c r="I391" s="209">
        <f>IF(H391=1,HLOOKUP(C391,'計算書（第3回）'!$C$123:$U$124,2,TRUE),0)</f>
        <v>0</v>
      </c>
      <c r="J391" s="209">
        <f>IF('信用保険料計算書（上限2000万）'!$K$15="",0,IF($B391&lt;'信用保険料計算書（上限2000万）'!$K$15,0,IF($B391&gt;'信用保険料計算書（上限2000万）'!$K$16,0,1)))</f>
        <v>0</v>
      </c>
      <c r="K391" s="209">
        <f>IF(J391=1,HLOOKUP(C391,'計算書（第4回）'!$C$123:$U$124,2,TRUE),0)</f>
        <v>0</v>
      </c>
      <c r="L391" s="209">
        <f>IF('信用保険料計算書（上限2000万）'!$M$15="",0,IF($B391&lt;'信用保険料計算書（上限2000万）'!$M$15,0,IF($B391&gt;'信用保険料計算書（上限2000万）'!$M$16,0,1)))</f>
        <v>0</v>
      </c>
      <c r="M391" s="209">
        <f>IF(L391=1,HLOOKUP(C391,'計算書（第5回）'!$C$123:$U$124,2,TRUE),0)</f>
        <v>0</v>
      </c>
      <c r="N391" s="209">
        <f>IF('信用保険料計算書（上限2000万）'!$O$15="",0,IF($B391&lt;'信用保険料計算書（上限2000万）'!$O$15,0,IF($B391&gt;'信用保険料計算書（上限2000万）'!$O$16,0,1)))</f>
        <v>0</v>
      </c>
      <c r="O391" s="209">
        <f>IF(N391=1,HLOOKUP(C391,'計算書（第6回）'!$C$123:$U$124,2,TRUE),0)</f>
        <v>0</v>
      </c>
      <c r="P391" s="209">
        <f>IF('信用保険料計算書（上限2000万）'!$Q$15="",0,IF($B391&lt;'信用保険料計算書（上限2000万）'!$Q$15,0,IF($B391&gt;'信用保険料計算書（上限2000万）'!$Q$16,0,1)))</f>
        <v>0</v>
      </c>
      <c r="Q391" s="209">
        <f>IF(P391=1,HLOOKUP(C391,'計算書（第7回）'!$C$123:$U$124,2,TRUE),0)</f>
        <v>0</v>
      </c>
      <c r="R391" s="213"/>
      <c r="S391" s="211">
        <f>COUNTIF($AB$13:$AB$19,"&lt;=2031/8/1")</f>
        <v>2</v>
      </c>
      <c r="T391" s="178">
        <f t="shared" si="51"/>
        <v>44743</v>
      </c>
      <c r="U391" s="181">
        <f t="shared" si="48"/>
        <v>0</v>
      </c>
      <c r="V391" s="182">
        <f t="shared" si="49"/>
        <v>0</v>
      </c>
      <c r="W391" s="245">
        <f t="shared" si="52"/>
        <v>0</v>
      </c>
      <c r="X391" s="182"/>
    </row>
    <row r="392" spans="2:24">
      <c r="B392" s="214">
        <f t="shared" si="50"/>
        <v>52475</v>
      </c>
      <c r="C392" s="198">
        <f t="shared" si="47"/>
        <v>52444</v>
      </c>
      <c r="D392" s="209">
        <f>IF(B392&lt;'信用保険料計算書（上限2000万）'!$E$15,0,IF(B392&gt;'信用保険料計算書（上限2000万）'!$E$16,0,1))</f>
        <v>0</v>
      </c>
      <c r="E392" s="209">
        <f>IF(D392=1,HLOOKUP(C392,'計算書（第1回）'!$C$123:$U$124,2,TRUE),0)</f>
        <v>0</v>
      </c>
      <c r="F392" s="209">
        <f>IF('信用保険料計算書（上限2000万）'!$G$15="",0,IF($B392&lt;'信用保険料計算書（上限2000万）'!$G$15,0,IF($B392&gt;'信用保険料計算書（上限2000万）'!$G$16,0,1)))</f>
        <v>0</v>
      </c>
      <c r="G392" s="209">
        <f>IF(F392=1,HLOOKUP(C392,'計算書（第2回）'!$C$123:$U$124,2,TRUE),0)</f>
        <v>0</v>
      </c>
      <c r="H392" s="209">
        <f>IF('信用保険料計算書（上限2000万）'!$I$15="",0,IF($B392&lt;'信用保険料計算書（上限2000万）'!$I$15,0,IF($B392&gt;'信用保険料計算書（上限2000万）'!$I$16,0,1)))</f>
        <v>0</v>
      </c>
      <c r="I392" s="209">
        <f>IF(H392=1,HLOOKUP(C392,'計算書（第3回）'!$C$123:$U$124,2,TRUE),0)</f>
        <v>0</v>
      </c>
      <c r="J392" s="209">
        <f>IF('信用保険料計算書（上限2000万）'!$K$15="",0,IF($B392&lt;'信用保険料計算書（上限2000万）'!$K$15,0,IF($B392&gt;'信用保険料計算書（上限2000万）'!$K$16,0,1)))</f>
        <v>0</v>
      </c>
      <c r="K392" s="209">
        <f>IF(J392=1,HLOOKUP(C392,'計算書（第4回）'!$C$123:$U$124,2,TRUE),0)</f>
        <v>0</v>
      </c>
      <c r="L392" s="209">
        <f>IF('信用保険料計算書（上限2000万）'!$M$15="",0,IF($B392&lt;'信用保険料計算書（上限2000万）'!$M$15,0,IF($B392&gt;'信用保険料計算書（上限2000万）'!$M$16,0,1)))</f>
        <v>0</v>
      </c>
      <c r="M392" s="209">
        <f>IF(L392=1,HLOOKUP(C392,'計算書（第5回）'!$C$123:$U$124,2,TRUE),0)</f>
        <v>0</v>
      </c>
      <c r="N392" s="209">
        <f>IF('信用保険料計算書（上限2000万）'!$O$15="",0,IF($B392&lt;'信用保険料計算書（上限2000万）'!$O$15,0,IF($B392&gt;'信用保険料計算書（上限2000万）'!$O$16,0,1)))</f>
        <v>0</v>
      </c>
      <c r="O392" s="209">
        <f>IF(N392=1,HLOOKUP(C392,'計算書（第6回）'!$C$123:$U$124,2,TRUE),0)</f>
        <v>0</v>
      </c>
      <c r="P392" s="209">
        <f>IF('信用保険料計算書（上限2000万）'!$Q$15="",0,IF($B392&lt;'信用保険料計算書（上限2000万）'!$Q$15,0,IF($B392&gt;'信用保険料計算書（上限2000万）'!$Q$16,0,1)))</f>
        <v>0</v>
      </c>
      <c r="Q392" s="209">
        <f>IF(P392=1,HLOOKUP(C392,'計算書（第7回）'!$C$123:$U$124,2,TRUE),0)</f>
        <v>0</v>
      </c>
      <c r="R392" s="213"/>
      <c r="S392" s="211">
        <f>COUNTIF($AB$13:$AB$19,"&lt;=2031/9/1")</f>
        <v>2</v>
      </c>
      <c r="T392" s="178">
        <f t="shared" si="51"/>
        <v>44743</v>
      </c>
      <c r="U392" s="181">
        <f t="shared" si="48"/>
        <v>0</v>
      </c>
      <c r="V392" s="182">
        <f t="shared" si="49"/>
        <v>0</v>
      </c>
      <c r="W392" s="245">
        <f t="shared" si="52"/>
        <v>0</v>
      </c>
      <c r="X392" s="183">
        <f>INT(SUM(W387:W392))</f>
        <v>0</v>
      </c>
    </row>
    <row r="393" spans="2:24">
      <c r="B393" s="214">
        <f t="shared" si="50"/>
        <v>52505</v>
      </c>
      <c r="C393" s="198">
        <f t="shared" si="47"/>
        <v>52475</v>
      </c>
      <c r="D393" s="209">
        <f>IF(B393&lt;'信用保険料計算書（上限2000万）'!$E$15,0,IF(B393&gt;'信用保険料計算書（上限2000万）'!$E$16,0,1))</f>
        <v>0</v>
      </c>
      <c r="E393" s="209">
        <f>IF(D393=1,HLOOKUP(C393,'計算書（第1回）'!$C$123:$U$124,2,TRUE),0)</f>
        <v>0</v>
      </c>
      <c r="F393" s="209">
        <f>IF('信用保険料計算書（上限2000万）'!$G$15="",0,IF($B393&lt;'信用保険料計算書（上限2000万）'!$G$15,0,IF($B393&gt;'信用保険料計算書（上限2000万）'!$G$16,0,1)))</f>
        <v>0</v>
      </c>
      <c r="G393" s="209">
        <f>IF(F393=1,HLOOKUP(C393,'計算書（第2回）'!$C$123:$U$124,2,TRUE),0)</f>
        <v>0</v>
      </c>
      <c r="H393" s="209">
        <f>IF('信用保険料計算書（上限2000万）'!$I$15="",0,IF($B393&lt;'信用保険料計算書（上限2000万）'!$I$15,0,IF($B393&gt;'信用保険料計算書（上限2000万）'!$I$16,0,1)))</f>
        <v>0</v>
      </c>
      <c r="I393" s="209">
        <f>IF(H393=1,HLOOKUP(C393,'計算書（第3回）'!$C$123:$U$124,2,TRUE),0)</f>
        <v>0</v>
      </c>
      <c r="J393" s="209">
        <f>IF('信用保険料計算書（上限2000万）'!$K$15="",0,IF($B393&lt;'信用保険料計算書（上限2000万）'!$K$15,0,IF($B393&gt;'信用保険料計算書（上限2000万）'!$K$16,0,1)))</f>
        <v>0</v>
      </c>
      <c r="K393" s="209">
        <f>IF(J393=1,HLOOKUP(C393,'計算書（第4回）'!$C$123:$U$124,2,TRUE),0)</f>
        <v>0</v>
      </c>
      <c r="L393" s="209">
        <f>IF('信用保険料計算書（上限2000万）'!$M$15="",0,IF($B393&lt;'信用保険料計算書（上限2000万）'!$M$15,0,IF($B393&gt;'信用保険料計算書（上限2000万）'!$M$16,0,1)))</f>
        <v>0</v>
      </c>
      <c r="M393" s="209">
        <f>IF(L393=1,HLOOKUP(C393,'計算書（第5回）'!$C$123:$U$124,2,TRUE),0)</f>
        <v>0</v>
      </c>
      <c r="N393" s="209">
        <f>IF('信用保険料計算書（上限2000万）'!$O$15="",0,IF($B393&lt;'信用保険料計算書（上限2000万）'!$O$15,0,IF($B393&gt;'信用保険料計算書（上限2000万）'!$O$16,0,1)))</f>
        <v>0</v>
      </c>
      <c r="O393" s="209">
        <f>IF(N393=1,HLOOKUP(C393,'計算書（第6回）'!$C$123:$U$124,2,TRUE),0)</f>
        <v>0</v>
      </c>
      <c r="P393" s="209">
        <f>IF('信用保険料計算書（上限2000万）'!$Q$15="",0,IF($B393&lt;'信用保険料計算書（上限2000万）'!$Q$15,0,IF($B393&gt;'信用保険料計算書（上限2000万）'!$Q$16,0,1)))</f>
        <v>0</v>
      </c>
      <c r="Q393" s="209">
        <f>IF(P393=1,HLOOKUP(C393,'計算書（第7回）'!$C$123:$U$124,2,TRUE),0)</f>
        <v>0</v>
      </c>
      <c r="R393" s="213"/>
      <c r="S393" s="211">
        <f>COUNTIF($AB$13:$AB$19,"&lt;=2031/10/1")</f>
        <v>2</v>
      </c>
      <c r="T393" s="178">
        <f t="shared" si="51"/>
        <v>44743</v>
      </c>
      <c r="U393" s="181">
        <f t="shared" si="48"/>
        <v>0</v>
      </c>
      <c r="V393" s="182">
        <f t="shared" si="49"/>
        <v>0</v>
      </c>
      <c r="W393" s="245">
        <f t="shared" si="52"/>
        <v>0</v>
      </c>
      <c r="X393" s="182"/>
    </row>
    <row r="394" spans="2:24">
      <c r="B394" s="214">
        <f t="shared" si="50"/>
        <v>52536</v>
      </c>
      <c r="C394" s="198">
        <f t="shared" si="47"/>
        <v>52505</v>
      </c>
      <c r="D394" s="209">
        <f>IF(B394&lt;'信用保険料計算書（上限2000万）'!$E$15,0,IF(B394&gt;'信用保険料計算書（上限2000万）'!$E$16,0,1))</f>
        <v>0</v>
      </c>
      <c r="E394" s="209">
        <f>IF(D394=1,HLOOKUP(C394,'計算書（第1回）'!$C$123:$U$124,2,TRUE),0)</f>
        <v>0</v>
      </c>
      <c r="F394" s="209">
        <f>IF('信用保険料計算書（上限2000万）'!$G$15="",0,IF($B394&lt;'信用保険料計算書（上限2000万）'!$G$15,0,IF($B394&gt;'信用保険料計算書（上限2000万）'!$G$16,0,1)))</f>
        <v>0</v>
      </c>
      <c r="G394" s="209">
        <f>IF(F394=1,HLOOKUP(C394,'計算書（第2回）'!$C$123:$U$124,2,TRUE),0)</f>
        <v>0</v>
      </c>
      <c r="H394" s="209">
        <f>IF('信用保険料計算書（上限2000万）'!$I$15="",0,IF($B394&lt;'信用保険料計算書（上限2000万）'!$I$15,0,IF($B394&gt;'信用保険料計算書（上限2000万）'!$I$16,0,1)))</f>
        <v>0</v>
      </c>
      <c r="I394" s="209">
        <f>IF(H394=1,HLOOKUP(C394,'計算書（第3回）'!$C$123:$U$124,2,TRUE),0)</f>
        <v>0</v>
      </c>
      <c r="J394" s="209">
        <f>IF('信用保険料計算書（上限2000万）'!$K$15="",0,IF($B394&lt;'信用保険料計算書（上限2000万）'!$K$15,0,IF($B394&gt;'信用保険料計算書（上限2000万）'!$K$16,0,1)))</f>
        <v>0</v>
      </c>
      <c r="K394" s="209">
        <f>IF(J394=1,HLOOKUP(C394,'計算書（第4回）'!$C$123:$U$124,2,TRUE),0)</f>
        <v>0</v>
      </c>
      <c r="L394" s="209">
        <f>IF('信用保険料計算書（上限2000万）'!$M$15="",0,IF($B394&lt;'信用保険料計算書（上限2000万）'!$M$15,0,IF($B394&gt;'信用保険料計算書（上限2000万）'!$M$16,0,1)))</f>
        <v>0</v>
      </c>
      <c r="M394" s="209">
        <f>IF(L394=1,HLOOKUP(C394,'計算書（第5回）'!$C$123:$U$124,2,TRUE),0)</f>
        <v>0</v>
      </c>
      <c r="N394" s="209">
        <f>IF('信用保険料計算書（上限2000万）'!$O$15="",0,IF($B394&lt;'信用保険料計算書（上限2000万）'!$O$15,0,IF($B394&gt;'信用保険料計算書（上限2000万）'!$O$16,0,1)))</f>
        <v>0</v>
      </c>
      <c r="O394" s="209">
        <f>IF(N394=1,HLOOKUP(C394,'計算書（第6回）'!$C$123:$U$124,2,TRUE),0)</f>
        <v>0</v>
      </c>
      <c r="P394" s="209">
        <f>IF('信用保険料計算書（上限2000万）'!$Q$15="",0,IF($B394&lt;'信用保険料計算書（上限2000万）'!$Q$15,0,IF($B394&gt;'信用保険料計算書（上限2000万）'!$Q$16,0,1)))</f>
        <v>0</v>
      </c>
      <c r="Q394" s="209">
        <f>IF(P394=1,HLOOKUP(C394,'計算書（第7回）'!$C$123:$U$124,2,TRUE),0)</f>
        <v>0</v>
      </c>
      <c r="R394" s="213"/>
      <c r="S394" s="211">
        <f>COUNTIF($AB$13:$AB$19,"&lt;=2031/11/1")</f>
        <v>2</v>
      </c>
      <c r="T394" s="178">
        <f t="shared" si="51"/>
        <v>44743</v>
      </c>
      <c r="U394" s="181">
        <f t="shared" si="48"/>
        <v>0</v>
      </c>
      <c r="V394" s="182">
        <f t="shared" si="49"/>
        <v>0</v>
      </c>
      <c r="W394" s="245">
        <f t="shared" si="52"/>
        <v>0</v>
      </c>
      <c r="X394" s="182"/>
    </row>
    <row r="395" spans="2:24">
      <c r="B395" s="214">
        <f t="shared" si="50"/>
        <v>52566</v>
      </c>
      <c r="C395" s="198">
        <f t="shared" si="47"/>
        <v>52536</v>
      </c>
      <c r="D395" s="209">
        <f>IF(B395&lt;'信用保険料計算書（上限2000万）'!$E$15,0,IF(B395&gt;'信用保険料計算書（上限2000万）'!$E$16,0,1))</f>
        <v>0</v>
      </c>
      <c r="E395" s="209">
        <f>IF(D395=1,HLOOKUP(C395,'計算書（第1回）'!$C$123:$U$124,2,TRUE),0)</f>
        <v>0</v>
      </c>
      <c r="F395" s="209">
        <f>IF('信用保険料計算書（上限2000万）'!$G$15="",0,IF($B395&lt;'信用保険料計算書（上限2000万）'!$G$15,0,IF($B395&gt;'信用保険料計算書（上限2000万）'!$G$16,0,1)))</f>
        <v>0</v>
      </c>
      <c r="G395" s="209">
        <f>IF(F395=1,HLOOKUP(C395,'計算書（第2回）'!$C$123:$U$124,2,TRUE),0)</f>
        <v>0</v>
      </c>
      <c r="H395" s="209">
        <f>IF('信用保険料計算書（上限2000万）'!$I$15="",0,IF($B395&lt;'信用保険料計算書（上限2000万）'!$I$15,0,IF($B395&gt;'信用保険料計算書（上限2000万）'!$I$16,0,1)))</f>
        <v>0</v>
      </c>
      <c r="I395" s="209">
        <f>IF(H395=1,HLOOKUP(C395,'計算書（第3回）'!$C$123:$U$124,2,TRUE),0)</f>
        <v>0</v>
      </c>
      <c r="J395" s="209">
        <f>IF('信用保険料計算書（上限2000万）'!$K$15="",0,IF($B395&lt;'信用保険料計算書（上限2000万）'!$K$15,0,IF($B395&gt;'信用保険料計算書（上限2000万）'!$K$16,0,1)))</f>
        <v>0</v>
      </c>
      <c r="K395" s="209">
        <f>IF(J395=1,HLOOKUP(C395,'計算書（第4回）'!$C$123:$U$124,2,TRUE),0)</f>
        <v>0</v>
      </c>
      <c r="L395" s="209">
        <f>IF('信用保険料計算書（上限2000万）'!$M$15="",0,IF($B395&lt;'信用保険料計算書（上限2000万）'!$M$15,0,IF($B395&gt;'信用保険料計算書（上限2000万）'!$M$16,0,1)))</f>
        <v>0</v>
      </c>
      <c r="M395" s="209">
        <f>IF(L395=1,HLOOKUP(C395,'計算書（第5回）'!$C$123:$U$124,2,TRUE),0)</f>
        <v>0</v>
      </c>
      <c r="N395" s="209">
        <f>IF('信用保険料計算書（上限2000万）'!$O$15="",0,IF($B395&lt;'信用保険料計算書（上限2000万）'!$O$15,0,IF($B395&gt;'信用保険料計算書（上限2000万）'!$O$16,0,1)))</f>
        <v>0</v>
      </c>
      <c r="O395" s="209">
        <f>IF(N395=1,HLOOKUP(C395,'計算書（第6回）'!$C$123:$U$124,2,TRUE),0)</f>
        <v>0</v>
      </c>
      <c r="P395" s="209">
        <f>IF('信用保険料計算書（上限2000万）'!$Q$15="",0,IF($B395&lt;'信用保険料計算書（上限2000万）'!$Q$15,0,IF($B395&gt;'信用保険料計算書（上限2000万）'!$Q$16,0,1)))</f>
        <v>0</v>
      </c>
      <c r="Q395" s="209">
        <f>IF(P395=1,HLOOKUP(C395,'計算書（第7回）'!$C$123:$U$124,2,TRUE),0)</f>
        <v>0</v>
      </c>
      <c r="R395" s="213"/>
      <c r="S395" s="211">
        <f>COUNTIF($AB$13:$AB$19,"&lt;=2031/12/1")</f>
        <v>2</v>
      </c>
      <c r="T395" s="178">
        <f t="shared" si="51"/>
        <v>44743</v>
      </c>
      <c r="U395" s="181">
        <f t="shared" si="48"/>
        <v>0</v>
      </c>
      <c r="V395" s="182">
        <f t="shared" si="49"/>
        <v>0</v>
      </c>
      <c r="W395" s="245">
        <f t="shared" si="52"/>
        <v>0</v>
      </c>
      <c r="X395" s="182"/>
    </row>
    <row r="396" spans="2:24">
      <c r="B396" s="214">
        <f t="shared" si="50"/>
        <v>52597</v>
      </c>
      <c r="C396" s="198">
        <f t="shared" si="47"/>
        <v>52566</v>
      </c>
      <c r="D396" s="209">
        <f>IF(B396&lt;'信用保険料計算書（上限2000万）'!$E$15,0,IF(B396&gt;'信用保険料計算書（上限2000万）'!$E$16,0,1))</f>
        <v>0</v>
      </c>
      <c r="E396" s="209">
        <f>IF(D396=1,HLOOKUP(C396,'計算書（第1回）'!$C$123:$U$124,2,TRUE),0)</f>
        <v>0</v>
      </c>
      <c r="F396" s="209">
        <f>IF('信用保険料計算書（上限2000万）'!$G$15="",0,IF($B396&lt;'信用保険料計算書（上限2000万）'!$G$15,0,IF($B396&gt;'信用保険料計算書（上限2000万）'!$G$16,0,1)))</f>
        <v>0</v>
      </c>
      <c r="G396" s="209">
        <f>IF(F396=1,HLOOKUP(C396,'計算書（第2回）'!$C$123:$U$124,2,TRUE),0)</f>
        <v>0</v>
      </c>
      <c r="H396" s="209">
        <f>IF('信用保険料計算書（上限2000万）'!$I$15="",0,IF($B396&lt;'信用保険料計算書（上限2000万）'!$I$15,0,IF($B396&gt;'信用保険料計算書（上限2000万）'!$I$16,0,1)))</f>
        <v>0</v>
      </c>
      <c r="I396" s="209">
        <f>IF(H396=1,HLOOKUP(C396,'計算書（第3回）'!$C$123:$U$124,2,TRUE),0)</f>
        <v>0</v>
      </c>
      <c r="J396" s="209">
        <f>IF('信用保険料計算書（上限2000万）'!$K$15="",0,IF($B396&lt;'信用保険料計算書（上限2000万）'!$K$15,0,IF($B396&gt;'信用保険料計算書（上限2000万）'!$K$16,0,1)))</f>
        <v>0</v>
      </c>
      <c r="K396" s="209">
        <f>IF(J396=1,HLOOKUP(C396,'計算書（第4回）'!$C$123:$U$124,2,TRUE),0)</f>
        <v>0</v>
      </c>
      <c r="L396" s="209">
        <f>IF('信用保険料計算書（上限2000万）'!$M$15="",0,IF($B396&lt;'信用保険料計算書（上限2000万）'!$M$15,0,IF($B396&gt;'信用保険料計算書（上限2000万）'!$M$16,0,1)))</f>
        <v>0</v>
      </c>
      <c r="M396" s="209">
        <f>IF(L396=1,HLOOKUP(C396,'計算書（第5回）'!$C$123:$U$124,2,TRUE),0)</f>
        <v>0</v>
      </c>
      <c r="N396" s="209">
        <f>IF('信用保険料計算書（上限2000万）'!$O$15="",0,IF($B396&lt;'信用保険料計算書（上限2000万）'!$O$15,0,IF($B396&gt;'信用保険料計算書（上限2000万）'!$O$16,0,1)))</f>
        <v>0</v>
      </c>
      <c r="O396" s="209">
        <f>IF(N396=1,HLOOKUP(C396,'計算書（第6回）'!$C$123:$U$124,2,TRUE),0)</f>
        <v>0</v>
      </c>
      <c r="P396" s="209">
        <f>IF('信用保険料計算書（上限2000万）'!$Q$15="",0,IF($B396&lt;'信用保険料計算書（上限2000万）'!$Q$15,0,IF($B396&gt;'信用保険料計算書（上限2000万）'!$Q$16,0,1)))</f>
        <v>0</v>
      </c>
      <c r="Q396" s="209">
        <f>IF(P396=1,HLOOKUP(C396,'計算書（第7回）'!$C$123:$U$124,2,TRUE),0)</f>
        <v>0</v>
      </c>
      <c r="R396" s="212"/>
      <c r="S396" s="211">
        <f>COUNTIF($AB$13:$AB$19,"&lt;=2032/1/1")</f>
        <v>2</v>
      </c>
      <c r="T396" s="178">
        <f t="shared" si="51"/>
        <v>44743</v>
      </c>
      <c r="U396" s="181">
        <f t="shared" si="48"/>
        <v>0</v>
      </c>
      <c r="V396" s="182">
        <f t="shared" si="49"/>
        <v>0</v>
      </c>
      <c r="W396" s="245">
        <f t="shared" si="52"/>
        <v>0</v>
      </c>
      <c r="X396" s="182"/>
    </row>
    <row r="397" spans="2:24">
      <c r="B397" s="214">
        <f t="shared" si="50"/>
        <v>52628</v>
      </c>
      <c r="C397" s="198">
        <f t="shared" si="47"/>
        <v>52597</v>
      </c>
      <c r="D397" s="209">
        <f>IF(B397&lt;'信用保険料計算書（上限2000万）'!$E$15,0,IF(B397&gt;'信用保険料計算書（上限2000万）'!$E$16,0,1))</f>
        <v>0</v>
      </c>
      <c r="E397" s="209">
        <f>IF(D397=1,HLOOKUP(C397,'計算書（第1回）'!$C$123:$U$124,2,TRUE),0)</f>
        <v>0</v>
      </c>
      <c r="F397" s="209">
        <f>IF('信用保険料計算書（上限2000万）'!$G$15="",0,IF($B397&lt;'信用保険料計算書（上限2000万）'!$G$15,0,IF($B397&gt;'信用保険料計算書（上限2000万）'!$G$16,0,1)))</f>
        <v>0</v>
      </c>
      <c r="G397" s="209">
        <f>IF(F397=1,HLOOKUP(C397,'計算書（第2回）'!$C$123:$U$124,2,TRUE),0)</f>
        <v>0</v>
      </c>
      <c r="H397" s="209">
        <f>IF('信用保険料計算書（上限2000万）'!$I$15="",0,IF($B397&lt;'信用保険料計算書（上限2000万）'!$I$15,0,IF($B397&gt;'信用保険料計算書（上限2000万）'!$I$16,0,1)))</f>
        <v>0</v>
      </c>
      <c r="I397" s="209">
        <f>IF(H397=1,HLOOKUP(C397,'計算書（第3回）'!$C$123:$U$124,2,TRUE),0)</f>
        <v>0</v>
      </c>
      <c r="J397" s="209">
        <f>IF('信用保険料計算書（上限2000万）'!$K$15="",0,IF($B397&lt;'信用保険料計算書（上限2000万）'!$K$15,0,IF($B397&gt;'信用保険料計算書（上限2000万）'!$K$16,0,1)))</f>
        <v>0</v>
      </c>
      <c r="K397" s="209">
        <f>IF(J397=1,HLOOKUP(C397,'計算書（第4回）'!$C$123:$U$124,2,TRUE),0)</f>
        <v>0</v>
      </c>
      <c r="L397" s="209">
        <f>IF('信用保険料計算書（上限2000万）'!$M$15="",0,IF($B397&lt;'信用保険料計算書（上限2000万）'!$M$15,0,IF($B397&gt;'信用保険料計算書（上限2000万）'!$M$16,0,1)))</f>
        <v>0</v>
      </c>
      <c r="M397" s="209">
        <f>IF(L397=1,HLOOKUP(C397,'計算書（第5回）'!$C$123:$U$124,2,TRUE),0)</f>
        <v>0</v>
      </c>
      <c r="N397" s="209">
        <f>IF('信用保険料計算書（上限2000万）'!$O$15="",0,IF($B397&lt;'信用保険料計算書（上限2000万）'!$O$15,0,IF($B397&gt;'信用保険料計算書（上限2000万）'!$O$16,0,1)))</f>
        <v>0</v>
      </c>
      <c r="O397" s="209">
        <f>IF(N397=1,HLOOKUP(C397,'計算書（第6回）'!$C$123:$U$124,2,TRUE),0)</f>
        <v>0</v>
      </c>
      <c r="P397" s="209">
        <f>IF('信用保険料計算書（上限2000万）'!$Q$15="",0,IF($B397&lt;'信用保険料計算書（上限2000万）'!$Q$15,0,IF($B397&gt;'信用保険料計算書（上限2000万）'!$Q$16,0,1)))</f>
        <v>0</v>
      </c>
      <c r="Q397" s="209">
        <f>IF(P397=1,HLOOKUP(C397,'計算書（第7回）'!$C$123:$U$124,2,TRUE),0)</f>
        <v>0</v>
      </c>
      <c r="R397" s="212"/>
      <c r="S397" s="211">
        <f>COUNTIF($AB$13:$AB$19,"&lt;=2032/2/1")</f>
        <v>2</v>
      </c>
      <c r="T397" s="178">
        <f t="shared" si="51"/>
        <v>44743</v>
      </c>
      <c r="U397" s="181">
        <f t="shared" si="48"/>
        <v>0</v>
      </c>
      <c r="V397" s="182">
        <f t="shared" si="49"/>
        <v>0</v>
      </c>
      <c r="W397" s="245">
        <f t="shared" si="52"/>
        <v>0</v>
      </c>
      <c r="X397" s="182"/>
    </row>
    <row r="398" spans="2:24">
      <c r="B398" s="214">
        <f t="shared" si="50"/>
        <v>52657</v>
      </c>
      <c r="C398" s="198">
        <f t="shared" si="47"/>
        <v>52628</v>
      </c>
      <c r="D398" s="209">
        <f>IF(B398&lt;'信用保険料計算書（上限2000万）'!$E$15,0,IF(B398&gt;'信用保険料計算書（上限2000万）'!$E$16,0,1))</f>
        <v>0</v>
      </c>
      <c r="E398" s="209">
        <f>IF(D398=1,HLOOKUP(C398,'計算書（第1回）'!$C$123:$U$124,2,TRUE),0)</f>
        <v>0</v>
      </c>
      <c r="F398" s="209">
        <f>IF('信用保険料計算書（上限2000万）'!$G$15="",0,IF($B398&lt;'信用保険料計算書（上限2000万）'!$G$15,0,IF($B398&gt;'信用保険料計算書（上限2000万）'!$G$16,0,1)))</f>
        <v>0</v>
      </c>
      <c r="G398" s="209">
        <f>IF(F398=1,HLOOKUP(C398,'計算書（第2回）'!$C$123:$U$124,2,TRUE),0)</f>
        <v>0</v>
      </c>
      <c r="H398" s="209">
        <f>IF('信用保険料計算書（上限2000万）'!$I$15="",0,IF($B398&lt;'信用保険料計算書（上限2000万）'!$I$15,0,IF($B398&gt;'信用保険料計算書（上限2000万）'!$I$16,0,1)))</f>
        <v>0</v>
      </c>
      <c r="I398" s="209">
        <f>IF(H398=1,HLOOKUP(C398,'計算書（第3回）'!$C$123:$U$124,2,TRUE),0)</f>
        <v>0</v>
      </c>
      <c r="J398" s="209">
        <f>IF('信用保険料計算書（上限2000万）'!$K$15="",0,IF($B398&lt;'信用保険料計算書（上限2000万）'!$K$15,0,IF($B398&gt;'信用保険料計算書（上限2000万）'!$K$16,0,1)))</f>
        <v>0</v>
      </c>
      <c r="K398" s="209">
        <f>IF(J398=1,HLOOKUP(C398,'計算書（第4回）'!$C$123:$U$124,2,TRUE),0)</f>
        <v>0</v>
      </c>
      <c r="L398" s="209">
        <f>IF('信用保険料計算書（上限2000万）'!$M$15="",0,IF($B398&lt;'信用保険料計算書（上限2000万）'!$M$15,0,IF($B398&gt;'信用保険料計算書（上限2000万）'!$M$16,0,1)))</f>
        <v>0</v>
      </c>
      <c r="M398" s="209">
        <f>IF(L398=1,HLOOKUP(C398,'計算書（第5回）'!$C$123:$U$124,2,TRUE),0)</f>
        <v>0</v>
      </c>
      <c r="N398" s="209">
        <f>IF('信用保険料計算書（上限2000万）'!$O$15="",0,IF($B398&lt;'信用保険料計算書（上限2000万）'!$O$15,0,IF($B398&gt;'信用保険料計算書（上限2000万）'!$O$16,0,1)))</f>
        <v>0</v>
      </c>
      <c r="O398" s="209">
        <f>IF(N398=1,HLOOKUP(C398,'計算書（第6回）'!$C$123:$U$124,2,TRUE),0)</f>
        <v>0</v>
      </c>
      <c r="P398" s="209">
        <f>IF('信用保険料計算書（上限2000万）'!$Q$15="",0,IF($B398&lt;'信用保険料計算書（上限2000万）'!$Q$15,0,IF($B398&gt;'信用保険料計算書（上限2000万）'!$Q$16,0,1)))</f>
        <v>0</v>
      </c>
      <c r="Q398" s="209">
        <f>IF(P398=1,HLOOKUP(C398,'計算書（第7回）'!$C$123:$U$124,2,TRUE),0)</f>
        <v>0</v>
      </c>
      <c r="R398" s="212"/>
      <c r="S398" s="211">
        <f>COUNTIF($AB$13:$AB$19,"&lt;=2032/3/1")</f>
        <v>2</v>
      </c>
      <c r="T398" s="178">
        <f t="shared" si="51"/>
        <v>44743</v>
      </c>
      <c r="U398" s="181">
        <f t="shared" si="48"/>
        <v>0</v>
      </c>
      <c r="V398" s="182">
        <f t="shared" si="49"/>
        <v>0</v>
      </c>
      <c r="W398" s="245">
        <f t="shared" si="52"/>
        <v>0</v>
      </c>
      <c r="X398" s="183">
        <f>INT(SUM(W393:W398))</f>
        <v>0</v>
      </c>
    </row>
    <row r="399" spans="2:24">
      <c r="B399" s="214">
        <f t="shared" si="50"/>
        <v>52688</v>
      </c>
      <c r="C399" s="198">
        <f t="shared" si="47"/>
        <v>52657</v>
      </c>
      <c r="D399" s="209">
        <f>IF(B399&lt;'信用保険料計算書（上限2000万）'!$E$15,0,IF(B399&gt;'信用保険料計算書（上限2000万）'!$E$16,0,1))</f>
        <v>0</v>
      </c>
      <c r="E399" s="209">
        <f>IF(D399=1,HLOOKUP(C399,'計算書（第1回）'!$C$123:$U$124,2,TRUE),0)</f>
        <v>0</v>
      </c>
      <c r="F399" s="209">
        <f>IF('信用保険料計算書（上限2000万）'!$G$15="",0,IF($B399&lt;'信用保険料計算書（上限2000万）'!$G$15,0,IF($B399&gt;'信用保険料計算書（上限2000万）'!$G$16,0,1)))</f>
        <v>0</v>
      </c>
      <c r="G399" s="209">
        <f>IF(F399=1,HLOOKUP(C399,'計算書（第2回）'!$C$123:$U$124,2,TRUE),0)</f>
        <v>0</v>
      </c>
      <c r="H399" s="209">
        <f>IF('信用保険料計算書（上限2000万）'!$I$15="",0,IF($B399&lt;'信用保険料計算書（上限2000万）'!$I$15,0,IF($B399&gt;'信用保険料計算書（上限2000万）'!$I$16,0,1)))</f>
        <v>0</v>
      </c>
      <c r="I399" s="209">
        <f>IF(H399=1,HLOOKUP(C399,'計算書（第3回）'!$C$123:$U$124,2,TRUE),0)</f>
        <v>0</v>
      </c>
      <c r="J399" s="209">
        <f>IF('信用保険料計算書（上限2000万）'!$K$15="",0,IF($B399&lt;'信用保険料計算書（上限2000万）'!$K$15,0,IF($B399&gt;'信用保険料計算書（上限2000万）'!$K$16,0,1)))</f>
        <v>0</v>
      </c>
      <c r="K399" s="209">
        <f>IF(J399=1,HLOOKUP(C399,'計算書（第4回）'!$C$123:$U$124,2,TRUE),0)</f>
        <v>0</v>
      </c>
      <c r="L399" s="209">
        <f>IF('信用保険料計算書（上限2000万）'!$M$15="",0,IF($B399&lt;'信用保険料計算書（上限2000万）'!$M$15,0,IF($B399&gt;'信用保険料計算書（上限2000万）'!$M$16,0,1)))</f>
        <v>0</v>
      </c>
      <c r="M399" s="209">
        <f>IF(L399=1,HLOOKUP(C399,'計算書（第5回）'!$C$123:$U$124,2,TRUE),0)</f>
        <v>0</v>
      </c>
      <c r="N399" s="209">
        <f>IF('信用保険料計算書（上限2000万）'!$O$15="",0,IF($B399&lt;'信用保険料計算書（上限2000万）'!$O$15,0,IF($B399&gt;'信用保険料計算書（上限2000万）'!$O$16,0,1)))</f>
        <v>0</v>
      </c>
      <c r="O399" s="209">
        <f>IF(N399=1,HLOOKUP(C399,'計算書（第6回）'!$C$123:$U$124,2,TRUE),0)</f>
        <v>0</v>
      </c>
      <c r="P399" s="209">
        <f>IF('信用保険料計算書（上限2000万）'!$Q$15="",0,IF($B399&lt;'信用保険料計算書（上限2000万）'!$Q$15,0,IF($B399&gt;'信用保険料計算書（上限2000万）'!$Q$16,0,1)))</f>
        <v>0</v>
      </c>
      <c r="Q399" s="209">
        <f>IF(P399=1,HLOOKUP(C399,'計算書（第7回）'!$C$123:$U$124,2,TRUE),0)</f>
        <v>0</v>
      </c>
      <c r="R399" s="213"/>
      <c r="S399" s="211">
        <f>COUNTIF($AB$13:$AB$19,"&lt;=2031/4/1")</f>
        <v>2</v>
      </c>
      <c r="T399" s="178">
        <f t="shared" si="51"/>
        <v>44743</v>
      </c>
      <c r="U399" s="181">
        <f t="shared" si="48"/>
        <v>0</v>
      </c>
      <c r="V399" s="182">
        <f t="shared" ref="V399:V410" si="53">IF(U399=0,0,IF(U399&gt;VLOOKUP(T399,$AA$5:$AB$8,2,TRUE),VLOOKUP(T399,$AA$5:$AB$8,2,TRUE),U399))</f>
        <v>0</v>
      </c>
      <c r="W399" s="245">
        <f t="shared" si="52"/>
        <v>0</v>
      </c>
      <c r="X399" s="182"/>
    </row>
    <row r="400" spans="2:24">
      <c r="B400" s="214">
        <f t="shared" si="50"/>
        <v>52718</v>
      </c>
      <c r="C400" s="198">
        <f t="shared" si="47"/>
        <v>52688</v>
      </c>
      <c r="D400" s="209">
        <f>IF(B400&lt;'信用保険料計算書（上限2000万）'!$E$15,0,IF(B400&gt;'信用保険料計算書（上限2000万）'!$E$16,0,1))</f>
        <v>0</v>
      </c>
      <c r="E400" s="209">
        <f>IF(D400=1,HLOOKUP(C400,'計算書（第1回）'!$C$123:$U$124,2,TRUE),0)</f>
        <v>0</v>
      </c>
      <c r="F400" s="209">
        <f>IF('信用保険料計算書（上限2000万）'!$G$15="",0,IF($B400&lt;'信用保険料計算書（上限2000万）'!$G$15,0,IF($B400&gt;'信用保険料計算書（上限2000万）'!$G$16,0,1)))</f>
        <v>0</v>
      </c>
      <c r="G400" s="209">
        <f>IF(F400=1,HLOOKUP(C400,'計算書（第2回）'!$C$123:$U$124,2,TRUE),0)</f>
        <v>0</v>
      </c>
      <c r="H400" s="209">
        <f>IF('信用保険料計算書（上限2000万）'!$I$15="",0,IF($B400&lt;'信用保険料計算書（上限2000万）'!$I$15,0,IF($B400&gt;'信用保険料計算書（上限2000万）'!$I$16,0,1)))</f>
        <v>0</v>
      </c>
      <c r="I400" s="209">
        <f>IF(H400=1,HLOOKUP(C400,'計算書（第3回）'!$C$123:$U$124,2,TRUE),0)</f>
        <v>0</v>
      </c>
      <c r="J400" s="209">
        <f>IF('信用保険料計算書（上限2000万）'!$K$15="",0,IF($B400&lt;'信用保険料計算書（上限2000万）'!$K$15,0,IF($B400&gt;'信用保険料計算書（上限2000万）'!$K$16,0,1)))</f>
        <v>0</v>
      </c>
      <c r="K400" s="209">
        <f>IF(J400=1,HLOOKUP(C400,'計算書（第4回）'!$C$123:$U$124,2,TRUE),0)</f>
        <v>0</v>
      </c>
      <c r="L400" s="209">
        <f>IF('信用保険料計算書（上限2000万）'!$M$15="",0,IF($B400&lt;'信用保険料計算書（上限2000万）'!$M$15,0,IF($B400&gt;'信用保険料計算書（上限2000万）'!$M$16,0,1)))</f>
        <v>0</v>
      </c>
      <c r="M400" s="209">
        <f>IF(L400=1,HLOOKUP(C400,'計算書（第5回）'!$C$123:$U$124,2,TRUE),0)</f>
        <v>0</v>
      </c>
      <c r="N400" s="209">
        <f>IF('信用保険料計算書（上限2000万）'!$O$15="",0,IF($B400&lt;'信用保険料計算書（上限2000万）'!$O$15,0,IF($B400&gt;'信用保険料計算書（上限2000万）'!$O$16,0,1)))</f>
        <v>0</v>
      </c>
      <c r="O400" s="209">
        <f>IF(N400=1,HLOOKUP(C400,'計算書（第6回）'!$C$123:$U$124,2,TRUE),0)</f>
        <v>0</v>
      </c>
      <c r="P400" s="209">
        <f>IF('信用保険料計算書（上限2000万）'!$Q$15="",0,IF($B400&lt;'信用保険料計算書（上限2000万）'!$Q$15,0,IF($B400&gt;'信用保険料計算書（上限2000万）'!$Q$16,0,1)))</f>
        <v>0</v>
      </c>
      <c r="Q400" s="209">
        <f>IF(P400=1,HLOOKUP(C400,'計算書（第7回）'!$C$123:$U$124,2,TRUE),0)</f>
        <v>0</v>
      </c>
      <c r="R400" s="213"/>
      <c r="S400" s="211">
        <f>COUNTIF($AB$13:$AB$19,"&lt;=2031/5/1")</f>
        <v>2</v>
      </c>
      <c r="T400" s="178">
        <f t="shared" si="51"/>
        <v>44743</v>
      </c>
      <c r="U400" s="181">
        <f t="shared" si="48"/>
        <v>0</v>
      </c>
      <c r="V400" s="182">
        <f t="shared" si="53"/>
        <v>0</v>
      </c>
      <c r="W400" s="245">
        <f t="shared" si="52"/>
        <v>0</v>
      </c>
      <c r="X400" s="182"/>
    </row>
    <row r="401" spans="2:24">
      <c r="B401" s="214">
        <f t="shared" si="50"/>
        <v>52749</v>
      </c>
      <c r="C401" s="198">
        <f t="shared" si="47"/>
        <v>52718</v>
      </c>
      <c r="D401" s="209">
        <f>IF(B401&lt;'信用保険料計算書（上限2000万）'!$E$15,0,IF(B401&gt;'信用保険料計算書（上限2000万）'!$E$16,0,1))</f>
        <v>0</v>
      </c>
      <c r="E401" s="209">
        <f>IF(D401=1,HLOOKUP(C401,'計算書（第1回）'!$C$123:$U$124,2,TRUE),0)</f>
        <v>0</v>
      </c>
      <c r="F401" s="209">
        <f>IF('信用保険料計算書（上限2000万）'!$G$15="",0,IF($B401&lt;'信用保険料計算書（上限2000万）'!$G$15,0,IF($B401&gt;'信用保険料計算書（上限2000万）'!$G$16,0,1)))</f>
        <v>0</v>
      </c>
      <c r="G401" s="209">
        <f>IF(F401=1,HLOOKUP(C401,'計算書（第2回）'!$C$123:$U$124,2,TRUE),0)</f>
        <v>0</v>
      </c>
      <c r="H401" s="209">
        <f>IF('信用保険料計算書（上限2000万）'!$I$15="",0,IF($B401&lt;'信用保険料計算書（上限2000万）'!$I$15,0,IF($B401&gt;'信用保険料計算書（上限2000万）'!$I$16,0,1)))</f>
        <v>0</v>
      </c>
      <c r="I401" s="209">
        <f>IF(H401=1,HLOOKUP(C401,'計算書（第3回）'!$C$123:$U$124,2,TRUE),0)</f>
        <v>0</v>
      </c>
      <c r="J401" s="209">
        <f>IF('信用保険料計算書（上限2000万）'!$K$15="",0,IF($B401&lt;'信用保険料計算書（上限2000万）'!$K$15,0,IF($B401&gt;'信用保険料計算書（上限2000万）'!$K$16,0,1)))</f>
        <v>0</v>
      </c>
      <c r="K401" s="209">
        <f>IF(J401=1,HLOOKUP(C401,'計算書（第4回）'!$C$123:$U$124,2,TRUE),0)</f>
        <v>0</v>
      </c>
      <c r="L401" s="209">
        <f>IF('信用保険料計算書（上限2000万）'!$M$15="",0,IF($B401&lt;'信用保険料計算書（上限2000万）'!$M$15,0,IF($B401&gt;'信用保険料計算書（上限2000万）'!$M$16,0,1)))</f>
        <v>0</v>
      </c>
      <c r="M401" s="209">
        <f>IF(L401=1,HLOOKUP(C401,'計算書（第5回）'!$C$123:$U$124,2,TRUE),0)</f>
        <v>0</v>
      </c>
      <c r="N401" s="209">
        <f>IF('信用保険料計算書（上限2000万）'!$O$15="",0,IF($B401&lt;'信用保険料計算書（上限2000万）'!$O$15,0,IF($B401&gt;'信用保険料計算書（上限2000万）'!$O$16,0,1)))</f>
        <v>0</v>
      </c>
      <c r="O401" s="209">
        <f>IF(N401=1,HLOOKUP(C401,'計算書（第6回）'!$C$123:$U$124,2,TRUE),0)</f>
        <v>0</v>
      </c>
      <c r="P401" s="209">
        <f>IF('信用保険料計算書（上限2000万）'!$Q$15="",0,IF($B401&lt;'信用保険料計算書（上限2000万）'!$Q$15,0,IF($B401&gt;'信用保険料計算書（上限2000万）'!$Q$16,0,1)))</f>
        <v>0</v>
      </c>
      <c r="Q401" s="209">
        <f>IF(P401=1,HLOOKUP(C401,'計算書（第7回）'!$C$123:$U$124,2,TRUE),0)</f>
        <v>0</v>
      </c>
      <c r="R401" s="213"/>
      <c r="S401" s="211">
        <f>COUNTIF($AB$13:$AB$19,"&lt;=2031/6/1")</f>
        <v>2</v>
      </c>
      <c r="T401" s="178">
        <f t="shared" si="51"/>
        <v>44743</v>
      </c>
      <c r="U401" s="181">
        <f t="shared" si="48"/>
        <v>0</v>
      </c>
      <c r="V401" s="182">
        <f t="shared" si="53"/>
        <v>0</v>
      </c>
      <c r="W401" s="245">
        <f t="shared" si="52"/>
        <v>0</v>
      </c>
      <c r="X401" s="182"/>
    </row>
    <row r="402" spans="2:24">
      <c r="B402" s="214">
        <f t="shared" si="50"/>
        <v>52779</v>
      </c>
      <c r="C402" s="198">
        <f t="shared" si="47"/>
        <v>52749</v>
      </c>
      <c r="D402" s="209">
        <f>IF(B402&lt;'信用保険料計算書（上限2000万）'!$E$15,0,IF(B402&gt;'信用保険料計算書（上限2000万）'!$E$16,0,1))</f>
        <v>0</v>
      </c>
      <c r="E402" s="209">
        <f>IF(D402=1,HLOOKUP(C402,'計算書（第1回）'!$C$123:$U$124,2,TRUE),0)</f>
        <v>0</v>
      </c>
      <c r="F402" s="209">
        <f>IF('信用保険料計算書（上限2000万）'!$G$15="",0,IF($B402&lt;'信用保険料計算書（上限2000万）'!$G$15,0,IF($B402&gt;'信用保険料計算書（上限2000万）'!$G$16,0,1)))</f>
        <v>0</v>
      </c>
      <c r="G402" s="209">
        <f>IF(F402=1,HLOOKUP(C402,'計算書（第2回）'!$C$123:$U$124,2,TRUE),0)</f>
        <v>0</v>
      </c>
      <c r="H402" s="209">
        <f>IF('信用保険料計算書（上限2000万）'!$I$15="",0,IF($B402&lt;'信用保険料計算書（上限2000万）'!$I$15,0,IF($B402&gt;'信用保険料計算書（上限2000万）'!$I$16,0,1)))</f>
        <v>0</v>
      </c>
      <c r="I402" s="209">
        <f>IF(H402=1,HLOOKUP(C402,'計算書（第3回）'!$C$123:$U$124,2,TRUE),0)</f>
        <v>0</v>
      </c>
      <c r="J402" s="209">
        <f>IF('信用保険料計算書（上限2000万）'!$K$15="",0,IF($B402&lt;'信用保険料計算書（上限2000万）'!$K$15,0,IF($B402&gt;'信用保険料計算書（上限2000万）'!$K$16,0,1)))</f>
        <v>0</v>
      </c>
      <c r="K402" s="209">
        <f>IF(J402=1,HLOOKUP(C402,'計算書（第4回）'!$C$123:$U$124,2,TRUE),0)</f>
        <v>0</v>
      </c>
      <c r="L402" s="209">
        <f>IF('信用保険料計算書（上限2000万）'!$M$15="",0,IF($B402&lt;'信用保険料計算書（上限2000万）'!$M$15,0,IF($B402&gt;'信用保険料計算書（上限2000万）'!$M$16,0,1)))</f>
        <v>0</v>
      </c>
      <c r="M402" s="209">
        <f>IF(L402=1,HLOOKUP(C402,'計算書（第5回）'!$C$123:$U$124,2,TRUE),0)</f>
        <v>0</v>
      </c>
      <c r="N402" s="209">
        <f>IF('信用保険料計算書（上限2000万）'!$O$15="",0,IF($B402&lt;'信用保険料計算書（上限2000万）'!$O$15,0,IF($B402&gt;'信用保険料計算書（上限2000万）'!$O$16,0,1)))</f>
        <v>0</v>
      </c>
      <c r="O402" s="209">
        <f>IF(N402=1,HLOOKUP(C402,'計算書（第6回）'!$C$123:$U$124,2,TRUE),0)</f>
        <v>0</v>
      </c>
      <c r="P402" s="209">
        <f>IF('信用保険料計算書（上限2000万）'!$Q$15="",0,IF($B402&lt;'信用保険料計算書（上限2000万）'!$Q$15,0,IF($B402&gt;'信用保険料計算書（上限2000万）'!$Q$16,0,1)))</f>
        <v>0</v>
      </c>
      <c r="Q402" s="209">
        <f>IF(P402=1,HLOOKUP(C402,'計算書（第7回）'!$C$123:$U$124,2,TRUE),0)</f>
        <v>0</v>
      </c>
      <c r="R402" s="213"/>
      <c r="S402" s="211">
        <f>COUNTIF($AB$13:$AB$19,"&lt;=2031/7/1")</f>
        <v>2</v>
      </c>
      <c r="T402" s="178">
        <f t="shared" si="51"/>
        <v>44743</v>
      </c>
      <c r="U402" s="181">
        <f t="shared" si="48"/>
        <v>0</v>
      </c>
      <c r="V402" s="182">
        <f t="shared" si="53"/>
        <v>0</v>
      </c>
      <c r="W402" s="245">
        <f t="shared" si="52"/>
        <v>0</v>
      </c>
      <c r="X402" s="182"/>
    </row>
    <row r="403" spans="2:24">
      <c r="B403" s="214">
        <f t="shared" si="50"/>
        <v>52810</v>
      </c>
      <c r="C403" s="198">
        <f t="shared" si="47"/>
        <v>52779</v>
      </c>
      <c r="D403" s="209">
        <f>IF(B403&lt;'信用保険料計算書（上限2000万）'!$E$15,0,IF(B403&gt;'信用保険料計算書（上限2000万）'!$E$16,0,1))</f>
        <v>0</v>
      </c>
      <c r="E403" s="209">
        <f>IF(D403=1,HLOOKUP(C403,'計算書（第1回）'!$C$123:$U$124,2,TRUE),0)</f>
        <v>0</v>
      </c>
      <c r="F403" s="209">
        <f>IF('信用保険料計算書（上限2000万）'!$G$15="",0,IF($B403&lt;'信用保険料計算書（上限2000万）'!$G$15,0,IF($B403&gt;'信用保険料計算書（上限2000万）'!$G$16,0,1)))</f>
        <v>0</v>
      </c>
      <c r="G403" s="209">
        <f>IF(F403=1,HLOOKUP(C403,'計算書（第2回）'!$C$123:$U$124,2,TRUE),0)</f>
        <v>0</v>
      </c>
      <c r="H403" s="209">
        <f>IF('信用保険料計算書（上限2000万）'!$I$15="",0,IF($B403&lt;'信用保険料計算書（上限2000万）'!$I$15,0,IF($B403&gt;'信用保険料計算書（上限2000万）'!$I$16,0,1)))</f>
        <v>0</v>
      </c>
      <c r="I403" s="209">
        <f>IF(H403=1,HLOOKUP(C403,'計算書（第3回）'!$C$123:$U$124,2,TRUE),0)</f>
        <v>0</v>
      </c>
      <c r="J403" s="209">
        <f>IF('信用保険料計算書（上限2000万）'!$K$15="",0,IF($B403&lt;'信用保険料計算書（上限2000万）'!$K$15,0,IF($B403&gt;'信用保険料計算書（上限2000万）'!$K$16,0,1)))</f>
        <v>0</v>
      </c>
      <c r="K403" s="209">
        <f>IF(J403=1,HLOOKUP(C403,'計算書（第4回）'!$C$123:$U$124,2,TRUE),0)</f>
        <v>0</v>
      </c>
      <c r="L403" s="209">
        <f>IF('信用保険料計算書（上限2000万）'!$M$15="",0,IF($B403&lt;'信用保険料計算書（上限2000万）'!$M$15,0,IF($B403&gt;'信用保険料計算書（上限2000万）'!$M$16,0,1)))</f>
        <v>0</v>
      </c>
      <c r="M403" s="209">
        <f>IF(L403=1,HLOOKUP(C403,'計算書（第5回）'!$C$123:$U$124,2,TRUE),0)</f>
        <v>0</v>
      </c>
      <c r="N403" s="209">
        <f>IF('信用保険料計算書（上限2000万）'!$O$15="",0,IF($B403&lt;'信用保険料計算書（上限2000万）'!$O$15,0,IF($B403&gt;'信用保険料計算書（上限2000万）'!$O$16,0,1)))</f>
        <v>0</v>
      </c>
      <c r="O403" s="209">
        <f>IF(N403=1,HLOOKUP(C403,'計算書（第6回）'!$C$123:$U$124,2,TRUE),0)</f>
        <v>0</v>
      </c>
      <c r="P403" s="209">
        <f>IF('信用保険料計算書（上限2000万）'!$Q$15="",0,IF($B403&lt;'信用保険料計算書（上限2000万）'!$Q$15,0,IF($B403&gt;'信用保険料計算書（上限2000万）'!$Q$16,0,1)))</f>
        <v>0</v>
      </c>
      <c r="Q403" s="209">
        <f>IF(P403=1,HLOOKUP(C403,'計算書（第7回）'!$C$123:$U$124,2,TRUE),0)</f>
        <v>0</v>
      </c>
      <c r="R403" s="213"/>
      <c r="S403" s="211">
        <f>COUNTIF($AB$13:$AB$19,"&lt;=2031/8/1")</f>
        <v>2</v>
      </c>
      <c r="T403" s="178">
        <f t="shared" si="51"/>
        <v>44743</v>
      </c>
      <c r="U403" s="181">
        <f t="shared" si="48"/>
        <v>0</v>
      </c>
      <c r="V403" s="182">
        <f t="shared" si="53"/>
        <v>0</v>
      </c>
      <c r="W403" s="245">
        <f t="shared" si="52"/>
        <v>0</v>
      </c>
      <c r="X403" s="182"/>
    </row>
    <row r="404" spans="2:24">
      <c r="B404" s="214">
        <f t="shared" si="50"/>
        <v>52841</v>
      </c>
      <c r="C404" s="198">
        <f t="shared" si="47"/>
        <v>52810</v>
      </c>
      <c r="D404" s="209">
        <f>IF(B404&lt;'信用保険料計算書（上限2000万）'!$E$15,0,IF(B404&gt;'信用保険料計算書（上限2000万）'!$E$16,0,1))</f>
        <v>0</v>
      </c>
      <c r="E404" s="209">
        <f>IF(D404=1,HLOOKUP(C404,'計算書（第1回）'!$C$123:$U$124,2,TRUE),0)</f>
        <v>0</v>
      </c>
      <c r="F404" s="209">
        <f>IF('信用保険料計算書（上限2000万）'!$G$15="",0,IF($B404&lt;'信用保険料計算書（上限2000万）'!$G$15,0,IF($B404&gt;'信用保険料計算書（上限2000万）'!$G$16,0,1)))</f>
        <v>0</v>
      </c>
      <c r="G404" s="209">
        <f>IF(F404=1,HLOOKUP(C404,'計算書（第2回）'!$C$123:$U$124,2,TRUE),0)</f>
        <v>0</v>
      </c>
      <c r="H404" s="209">
        <f>IF('信用保険料計算書（上限2000万）'!$I$15="",0,IF($B404&lt;'信用保険料計算書（上限2000万）'!$I$15,0,IF($B404&gt;'信用保険料計算書（上限2000万）'!$I$16,0,1)))</f>
        <v>0</v>
      </c>
      <c r="I404" s="209">
        <f>IF(H404=1,HLOOKUP(C404,'計算書（第3回）'!$C$123:$U$124,2,TRUE),0)</f>
        <v>0</v>
      </c>
      <c r="J404" s="209">
        <f>IF('信用保険料計算書（上限2000万）'!$K$15="",0,IF($B404&lt;'信用保険料計算書（上限2000万）'!$K$15,0,IF($B404&gt;'信用保険料計算書（上限2000万）'!$K$16,0,1)))</f>
        <v>0</v>
      </c>
      <c r="K404" s="209">
        <f>IF(J404=1,HLOOKUP(C404,'計算書（第4回）'!$C$123:$U$124,2,TRUE),0)</f>
        <v>0</v>
      </c>
      <c r="L404" s="209">
        <f>IF('信用保険料計算書（上限2000万）'!$M$15="",0,IF($B404&lt;'信用保険料計算書（上限2000万）'!$M$15,0,IF($B404&gt;'信用保険料計算書（上限2000万）'!$M$16,0,1)))</f>
        <v>0</v>
      </c>
      <c r="M404" s="209">
        <f>IF(L404=1,HLOOKUP(C404,'計算書（第5回）'!$C$123:$U$124,2,TRUE),0)</f>
        <v>0</v>
      </c>
      <c r="N404" s="209">
        <f>IF('信用保険料計算書（上限2000万）'!$O$15="",0,IF($B404&lt;'信用保険料計算書（上限2000万）'!$O$15,0,IF($B404&gt;'信用保険料計算書（上限2000万）'!$O$16,0,1)))</f>
        <v>0</v>
      </c>
      <c r="O404" s="209">
        <f>IF(N404=1,HLOOKUP(C404,'計算書（第6回）'!$C$123:$U$124,2,TRUE),0)</f>
        <v>0</v>
      </c>
      <c r="P404" s="209">
        <f>IF('信用保険料計算書（上限2000万）'!$Q$15="",0,IF($B404&lt;'信用保険料計算書（上限2000万）'!$Q$15,0,IF($B404&gt;'信用保険料計算書（上限2000万）'!$Q$16,0,1)))</f>
        <v>0</v>
      </c>
      <c r="Q404" s="209">
        <f>IF(P404=1,HLOOKUP(C404,'計算書（第7回）'!$C$123:$U$124,2,TRUE),0)</f>
        <v>0</v>
      </c>
      <c r="R404" s="213"/>
      <c r="S404" s="211">
        <f>COUNTIF($AB$13:$AB$19,"&lt;=2031/9/1")</f>
        <v>2</v>
      </c>
      <c r="T404" s="178">
        <f t="shared" si="51"/>
        <v>44743</v>
      </c>
      <c r="U404" s="181">
        <f t="shared" si="48"/>
        <v>0</v>
      </c>
      <c r="V404" s="182">
        <f t="shared" si="53"/>
        <v>0</v>
      </c>
      <c r="W404" s="245">
        <f t="shared" si="52"/>
        <v>0</v>
      </c>
      <c r="X404" s="183">
        <f>INT(SUM(W399:W404))</f>
        <v>0</v>
      </c>
    </row>
    <row r="405" spans="2:24">
      <c r="B405" s="214">
        <f t="shared" si="50"/>
        <v>52871</v>
      </c>
      <c r="C405" s="198">
        <f t="shared" si="47"/>
        <v>52841</v>
      </c>
      <c r="D405" s="209">
        <f>IF(B405&lt;'信用保険料計算書（上限2000万）'!$E$15,0,IF(B405&gt;'信用保険料計算書（上限2000万）'!$E$16,0,1))</f>
        <v>0</v>
      </c>
      <c r="E405" s="209">
        <f>IF(D405=1,HLOOKUP(C405,'計算書（第1回）'!$C$123:$U$124,2,TRUE),0)</f>
        <v>0</v>
      </c>
      <c r="F405" s="209">
        <f>IF('信用保険料計算書（上限2000万）'!$G$15="",0,IF($B405&lt;'信用保険料計算書（上限2000万）'!$G$15,0,IF($B405&gt;'信用保険料計算書（上限2000万）'!$G$16,0,1)))</f>
        <v>0</v>
      </c>
      <c r="G405" s="209">
        <f>IF(F405=1,HLOOKUP(C405,'計算書（第2回）'!$C$123:$U$124,2,TRUE),0)</f>
        <v>0</v>
      </c>
      <c r="H405" s="209">
        <f>IF('信用保険料計算書（上限2000万）'!$I$15="",0,IF($B405&lt;'信用保険料計算書（上限2000万）'!$I$15,0,IF($B405&gt;'信用保険料計算書（上限2000万）'!$I$16,0,1)))</f>
        <v>0</v>
      </c>
      <c r="I405" s="209">
        <f>IF(H405=1,HLOOKUP(C405,'計算書（第3回）'!$C$123:$U$124,2,TRUE),0)</f>
        <v>0</v>
      </c>
      <c r="J405" s="209">
        <f>IF('信用保険料計算書（上限2000万）'!$K$15="",0,IF($B405&lt;'信用保険料計算書（上限2000万）'!$K$15,0,IF($B405&gt;'信用保険料計算書（上限2000万）'!$K$16,0,1)))</f>
        <v>0</v>
      </c>
      <c r="K405" s="209">
        <f>IF(J405=1,HLOOKUP(C405,'計算書（第4回）'!$C$123:$U$124,2,TRUE),0)</f>
        <v>0</v>
      </c>
      <c r="L405" s="209">
        <f>IF('信用保険料計算書（上限2000万）'!$M$15="",0,IF($B405&lt;'信用保険料計算書（上限2000万）'!$M$15,0,IF($B405&gt;'信用保険料計算書（上限2000万）'!$M$16,0,1)))</f>
        <v>0</v>
      </c>
      <c r="M405" s="209">
        <f>IF(L405=1,HLOOKUP(C405,'計算書（第5回）'!$C$123:$U$124,2,TRUE),0)</f>
        <v>0</v>
      </c>
      <c r="N405" s="209">
        <f>IF('信用保険料計算書（上限2000万）'!$O$15="",0,IF($B405&lt;'信用保険料計算書（上限2000万）'!$O$15,0,IF($B405&gt;'信用保険料計算書（上限2000万）'!$O$16,0,1)))</f>
        <v>0</v>
      </c>
      <c r="O405" s="209">
        <f>IF(N405=1,HLOOKUP(C405,'計算書（第6回）'!$C$123:$U$124,2,TRUE),0)</f>
        <v>0</v>
      </c>
      <c r="P405" s="209">
        <f>IF('信用保険料計算書（上限2000万）'!$Q$15="",0,IF($B405&lt;'信用保険料計算書（上限2000万）'!$Q$15,0,IF($B405&gt;'信用保険料計算書（上限2000万）'!$Q$16,0,1)))</f>
        <v>0</v>
      </c>
      <c r="Q405" s="209">
        <f>IF(P405=1,HLOOKUP(C405,'計算書（第7回）'!$C$123:$U$124,2,TRUE),0)</f>
        <v>0</v>
      </c>
      <c r="R405" s="213"/>
      <c r="S405" s="211">
        <f>COUNTIF($AB$13:$AB$19,"&lt;=2031/10/1")</f>
        <v>2</v>
      </c>
      <c r="T405" s="178">
        <f t="shared" si="51"/>
        <v>44743</v>
      </c>
      <c r="U405" s="181">
        <f t="shared" si="48"/>
        <v>0</v>
      </c>
      <c r="V405" s="182">
        <f t="shared" si="53"/>
        <v>0</v>
      </c>
      <c r="W405" s="245">
        <f t="shared" si="52"/>
        <v>0</v>
      </c>
      <c r="X405" s="182"/>
    </row>
    <row r="406" spans="2:24">
      <c r="B406" s="214">
        <f t="shared" si="50"/>
        <v>52902</v>
      </c>
      <c r="C406" s="198">
        <f t="shared" si="47"/>
        <v>52871</v>
      </c>
      <c r="D406" s="209">
        <f>IF(B406&lt;'信用保険料計算書（上限2000万）'!$E$15,0,IF(B406&gt;'信用保険料計算書（上限2000万）'!$E$16,0,1))</f>
        <v>0</v>
      </c>
      <c r="E406" s="209">
        <f>IF(D406=1,HLOOKUP(C406,'計算書（第1回）'!$C$123:$U$124,2,TRUE),0)</f>
        <v>0</v>
      </c>
      <c r="F406" s="209">
        <f>IF('信用保険料計算書（上限2000万）'!$G$15="",0,IF($B406&lt;'信用保険料計算書（上限2000万）'!$G$15,0,IF($B406&gt;'信用保険料計算書（上限2000万）'!$G$16,0,1)))</f>
        <v>0</v>
      </c>
      <c r="G406" s="209">
        <f>IF(F406=1,HLOOKUP(C406,'計算書（第2回）'!$C$123:$U$124,2,TRUE),0)</f>
        <v>0</v>
      </c>
      <c r="H406" s="209">
        <f>IF('信用保険料計算書（上限2000万）'!$I$15="",0,IF($B406&lt;'信用保険料計算書（上限2000万）'!$I$15,0,IF($B406&gt;'信用保険料計算書（上限2000万）'!$I$16,0,1)))</f>
        <v>0</v>
      </c>
      <c r="I406" s="209">
        <f>IF(H406=1,HLOOKUP(C406,'計算書（第3回）'!$C$123:$U$124,2,TRUE),0)</f>
        <v>0</v>
      </c>
      <c r="J406" s="209">
        <f>IF('信用保険料計算書（上限2000万）'!$K$15="",0,IF($B406&lt;'信用保険料計算書（上限2000万）'!$K$15,0,IF($B406&gt;'信用保険料計算書（上限2000万）'!$K$16,0,1)))</f>
        <v>0</v>
      </c>
      <c r="K406" s="209">
        <f>IF(J406=1,HLOOKUP(C406,'計算書（第4回）'!$C$123:$U$124,2,TRUE),0)</f>
        <v>0</v>
      </c>
      <c r="L406" s="209">
        <f>IF('信用保険料計算書（上限2000万）'!$M$15="",0,IF($B406&lt;'信用保険料計算書（上限2000万）'!$M$15,0,IF($B406&gt;'信用保険料計算書（上限2000万）'!$M$16,0,1)))</f>
        <v>0</v>
      </c>
      <c r="M406" s="209">
        <f>IF(L406=1,HLOOKUP(C406,'計算書（第5回）'!$C$123:$U$124,2,TRUE),0)</f>
        <v>0</v>
      </c>
      <c r="N406" s="209">
        <f>IF('信用保険料計算書（上限2000万）'!$O$15="",0,IF($B406&lt;'信用保険料計算書（上限2000万）'!$O$15,0,IF($B406&gt;'信用保険料計算書（上限2000万）'!$O$16,0,1)))</f>
        <v>0</v>
      </c>
      <c r="O406" s="209">
        <f>IF(N406=1,HLOOKUP(C406,'計算書（第6回）'!$C$123:$U$124,2,TRUE),0)</f>
        <v>0</v>
      </c>
      <c r="P406" s="209">
        <f>IF('信用保険料計算書（上限2000万）'!$Q$15="",0,IF($B406&lt;'信用保険料計算書（上限2000万）'!$Q$15,0,IF($B406&gt;'信用保険料計算書（上限2000万）'!$Q$16,0,1)))</f>
        <v>0</v>
      </c>
      <c r="Q406" s="209">
        <f>IF(P406=1,HLOOKUP(C406,'計算書（第7回）'!$C$123:$U$124,2,TRUE),0)</f>
        <v>0</v>
      </c>
      <c r="R406" s="213"/>
      <c r="S406" s="211">
        <f>COUNTIF($AB$13:$AB$19,"&lt;=2031/11/1")</f>
        <v>2</v>
      </c>
      <c r="T406" s="178">
        <f t="shared" si="51"/>
        <v>44743</v>
      </c>
      <c r="U406" s="181">
        <f t="shared" si="48"/>
        <v>0</v>
      </c>
      <c r="V406" s="182">
        <f t="shared" si="53"/>
        <v>0</v>
      </c>
      <c r="W406" s="245">
        <f t="shared" si="52"/>
        <v>0</v>
      </c>
      <c r="X406" s="182"/>
    </row>
    <row r="407" spans="2:24">
      <c r="B407" s="214">
        <f t="shared" si="50"/>
        <v>52932</v>
      </c>
      <c r="C407" s="198">
        <f t="shared" si="47"/>
        <v>52902</v>
      </c>
      <c r="D407" s="209">
        <f>IF(B407&lt;'信用保険料計算書（上限2000万）'!$E$15,0,IF(B407&gt;'信用保険料計算書（上限2000万）'!$E$16,0,1))</f>
        <v>0</v>
      </c>
      <c r="E407" s="209">
        <f>IF(D407=1,HLOOKUP(C407,'計算書（第1回）'!$C$123:$U$124,2,TRUE),0)</f>
        <v>0</v>
      </c>
      <c r="F407" s="209">
        <f>IF('信用保険料計算書（上限2000万）'!$G$15="",0,IF($B407&lt;'信用保険料計算書（上限2000万）'!$G$15,0,IF($B407&gt;'信用保険料計算書（上限2000万）'!$G$16,0,1)))</f>
        <v>0</v>
      </c>
      <c r="G407" s="209">
        <f>IF(F407=1,HLOOKUP(C407,'計算書（第2回）'!$C$123:$U$124,2,TRUE),0)</f>
        <v>0</v>
      </c>
      <c r="H407" s="209">
        <f>IF('信用保険料計算書（上限2000万）'!$I$15="",0,IF($B407&lt;'信用保険料計算書（上限2000万）'!$I$15,0,IF($B407&gt;'信用保険料計算書（上限2000万）'!$I$16,0,1)))</f>
        <v>0</v>
      </c>
      <c r="I407" s="209">
        <f>IF(H407=1,HLOOKUP(C407,'計算書（第3回）'!$C$123:$U$124,2,TRUE),0)</f>
        <v>0</v>
      </c>
      <c r="J407" s="209">
        <f>IF('信用保険料計算書（上限2000万）'!$K$15="",0,IF($B407&lt;'信用保険料計算書（上限2000万）'!$K$15,0,IF($B407&gt;'信用保険料計算書（上限2000万）'!$K$16,0,1)))</f>
        <v>0</v>
      </c>
      <c r="K407" s="209">
        <f>IF(J407=1,HLOOKUP(C407,'計算書（第4回）'!$C$123:$U$124,2,TRUE),0)</f>
        <v>0</v>
      </c>
      <c r="L407" s="209">
        <f>IF('信用保険料計算書（上限2000万）'!$M$15="",0,IF($B407&lt;'信用保険料計算書（上限2000万）'!$M$15,0,IF($B407&gt;'信用保険料計算書（上限2000万）'!$M$16,0,1)))</f>
        <v>0</v>
      </c>
      <c r="M407" s="209">
        <f>IF(L407=1,HLOOKUP(C407,'計算書（第5回）'!$C$123:$U$124,2,TRUE),0)</f>
        <v>0</v>
      </c>
      <c r="N407" s="209">
        <f>IF('信用保険料計算書（上限2000万）'!$O$15="",0,IF($B407&lt;'信用保険料計算書（上限2000万）'!$O$15,0,IF($B407&gt;'信用保険料計算書（上限2000万）'!$O$16,0,1)))</f>
        <v>0</v>
      </c>
      <c r="O407" s="209">
        <f>IF(N407=1,HLOOKUP(C407,'計算書（第6回）'!$C$123:$U$124,2,TRUE),0)</f>
        <v>0</v>
      </c>
      <c r="P407" s="209">
        <f>IF('信用保険料計算書（上限2000万）'!$Q$15="",0,IF($B407&lt;'信用保険料計算書（上限2000万）'!$Q$15,0,IF($B407&gt;'信用保険料計算書（上限2000万）'!$Q$16,0,1)))</f>
        <v>0</v>
      </c>
      <c r="Q407" s="209">
        <f>IF(P407=1,HLOOKUP(C407,'計算書（第7回）'!$C$123:$U$124,2,TRUE),0)</f>
        <v>0</v>
      </c>
      <c r="R407" s="213"/>
      <c r="S407" s="211">
        <f>COUNTIF($AB$13:$AB$19,"&lt;=2031/12/1")</f>
        <v>2</v>
      </c>
      <c r="T407" s="178">
        <f t="shared" si="51"/>
        <v>44743</v>
      </c>
      <c r="U407" s="181">
        <f t="shared" si="48"/>
        <v>0</v>
      </c>
      <c r="V407" s="182">
        <f t="shared" si="53"/>
        <v>0</v>
      </c>
      <c r="W407" s="245">
        <f t="shared" si="52"/>
        <v>0</v>
      </c>
      <c r="X407" s="182"/>
    </row>
    <row r="408" spans="2:24">
      <c r="B408" s="214">
        <f t="shared" si="50"/>
        <v>52963</v>
      </c>
      <c r="C408" s="198">
        <f t="shared" si="47"/>
        <v>52932</v>
      </c>
      <c r="D408" s="209">
        <f>IF(B408&lt;'信用保険料計算書（上限2000万）'!$E$15,0,IF(B408&gt;'信用保険料計算書（上限2000万）'!$E$16,0,1))</f>
        <v>0</v>
      </c>
      <c r="E408" s="209">
        <f>IF(D408=1,HLOOKUP(C408,'計算書（第1回）'!$C$123:$U$124,2,TRUE),0)</f>
        <v>0</v>
      </c>
      <c r="F408" s="209">
        <f>IF('信用保険料計算書（上限2000万）'!$G$15="",0,IF($B408&lt;'信用保険料計算書（上限2000万）'!$G$15,0,IF($B408&gt;'信用保険料計算書（上限2000万）'!$G$16,0,1)))</f>
        <v>0</v>
      </c>
      <c r="G408" s="209">
        <f>IF(F408=1,HLOOKUP(C408,'計算書（第2回）'!$C$123:$U$124,2,TRUE),0)</f>
        <v>0</v>
      </c>
      <c r="H408" s="209">
        <f>IF('信用保険料計算書（上限2000万）'!$I$15="",0,IF($B408&lt;'信用保険料計算書（上限2000万）'!$I$15,0,IF($B408&gt;'信用保険料計算書（上限2000万）'!$I$16,0,1)))</f>
        <v>0</v>
      </c>
      <c r="I408" s="209">
        <f>IF(H408=1,HLOOKUP(C408,'計算書（第3回）'!$C$123:$U$124,2,TRUE),0)</f>
        <v>0</v>
      </c>
      <c r="J408" s="209">
        <f>IF('信用保険料計算書（上限2000万）'!$K$15="",0,IF($B408&lt;'信用保険料計算書（上限2000万）'!$K$15,0,IF($B408&gt;'信用保険料計算書（上限2000万）'!$K$16,0,1)))</f>
        <v>0</v>
      </c>
      <c r="K408" s="209">
        <f>IF(J408=1,HLOOKUP(C408,'計算書（第4回）'!$C$123:$U$124,2,TRUE),0)</f>
        <v>0</v>
      </c>
      <c r="L408" s="209">
        <f>IF('信用保険料計算書（上限2000万）'!$M$15="",0,IF($B408&lt;'信用保険料計算書（上限2000万）'!$M$15,0,IF($B408&gt;'信用保険料計算書（上限2000万）'!$M$16,0,1)))</f>
        <v>0</v>
      </c>
      <c r="M408" s="209">
        <f>IF(L408=1,HLOOKUP(C408,'計算書（第5回）'!$C$123:$U$124,2,TRUE),0)</f>
        <v>0</v>
      </c>
      <c r="N408" s="209">
        <f>IF('信用保険料計算書（上限2000万）'!$O$15="",0,IF($B408&lt;'信用保険料計算書（上限2000万）'!$O$15,0,IF($B408&gt;'信用保険料計算書（上限2000万）'!$O$16,0,1)))</f>
        <v>0</v>
      </c>
      <c r="O408" s="209">
        <f>IF(N408=1,HLOOKUP(C408,'計算書（第6回）'!$C$123:$U$124,2,TRUE),0)</f>
        <v>0</v>
      </c>
      <c r="P408" s="209">
        <f>IF('信用保険料計算書（上限2000万）'!$Q$15="",0,IF($B408&lt;'信用保険料計算書（上限2000万）'!$Q$15,0,IF($B408&gt;'信用保険料計算書（上限2000万）'!$Q$16,0,1)))</f>
        <v>0</v>
      </c>
      <c r="Q408" s="209">
        <f>IF(P408=1,HLOOKUP(C408,'計算書（第7回）'!$C$123:$U$124,2,TRUE),0)</f>
        <v>0</v>
      </c>
      <c r="R408" s="212"/>
      <c r="S408" s="211">
        <f>COUNTIF($AB$13:$AB$19,"&lt;=2032/1/1")</f>
        <v>2</v>
      </c>
      <c r="T408" s="178">
        <f t="shared" si="51"/>
        <v>44743</v>
      </c>
      <c r="U408" s="181">
        <f t="shared" si="48"/>
        <v>0</v>
      </c>
      <c r="V408" s="182">
        <f t="shared" si="53"/>
        <v>0</v>
      </c>
      <c r="W408" s="245">
        <f t="shared" si="52"/>
        <v>0</v>
      </c>
      <c r="X408" s="182"/>
    </row>
    <row r="409" spans="2:24">
      <c r="B409" s="214">
        <f t="shared" si="50"/>
        <v>52994</v>
      </c>
      <c r="C409" s="198">
        <f t="shared" si="47"/>
        <v>52963</v>
      </c>
      <c r="D409" s="209">
        <f>IF(B409&lt;'信用保険料計算書（上限2000万）'!$E$15,0,IF(B409&gt;'信用保険料計算書（上限2000万）'!$E$16,0,1))</f>
        <v>0</v>
      </c>
      <c r="E409" s="209">
        <f>IF(D409=1,HLOOKUP(C409,'計算書（第1回）'!$C$123:$U$124,2,TRUE),0)</f>
        <v>0</v>
      </c>
      <c r="F409" s="209">
        <f>IF('信用保険料計算書（上限2000万）'!$G$15="",0,IF($B409&lt;'信用保険料計算書（上限2000万）'!$G$15,0,IF($B409&gt;'信用保険料計算書（上限2000万）'!$G$16,0,1)))</f>
        <v>0</v>
      </c>
      <c r="G409" s="209">
        <f>IF(F409=1,HLOOKUP(C409,'計算書（第2回）'!$C$123:$U$124,2,TRUE),0)</f>
        <v>0</v>
      </c>
      <c r="H409" s="209">
        <f>IF('信用保険料計算書（上限2000万）'!$I$15="",0,IF($B409&lt;'信用保険料計算書（上限2000万）'!$I$15,0,IF($B409&gt;'信用保険料計算書（上限2000万）'!$I$16,0,1)))</f>
        <v>0</v>
      </c>
      <c r="I409" s="209">
        <f>IF(H409=1,HLOOKUP(C409,'計算書（第3回）'!$C$123:$U$124,2,TRUE),0)</f>
        <v>0</v>
      </c>
      <c r="J409" s="209">
        <f>IF('信用保険料計算書（上限2000万）'!$K$15="",0,IF($B409&lt;'信用保険料計算書（上限2000万）'!$K$15,0,IF($B409&gt;'信用保険料計算書（上限2000万）'!$K$16,0,1)))</f>
        <v>0</v>
      </c>
      <c r="K409" s="209">
        <f>IF(J409=1,HLOOKUP(C409,'計算書（第4回）'!$C$123:$U$124,2,TRUE),0)</f>
        <v>0</v>
      </c>
      <c r="L409" s="209">
        <f>IF('信用保険料計算書（上限2000万）'!$M$15="",0,IF($B409&lt;'信用保険料計算書（上限2000万）'!$M$15,0,IF($B409&gt;'信用保険料計算書（上限2000万）'!$M$16,0,1)))</f>
        <v>0</v>
      </c>
      <c r="M409" s="209">
        <f>IF(L409=1,HLOOKUP(C409,'計算書（第5回）'!$C$123:$U$124,2,TRUE),0)</f>
        <v>0</v>
      </c>
      <c r="N409" s="209">
        <f>IF('信用保険料計算書（上限2000万）'!$O$15="",0,IF($B409&lt;'信用保険料計算書（上限2000万）'!$O$15,0,IF($B409&gt;'信用保険料計算書（上限2000万）'!$O$16,0,1)))</f>
        <v>0</v>
      </c>
      <c r="O409" s="209">
        <f>IF(N409=1,HLOOKUP(C409,'計算書（第6回）'!$C$123:$U$124,2,TRUE),0)</f>
        <v>0</v>
      </c>
      <c r="P409" s="209">
        <f>IF('信用保険料計算書（上限2000万）'!$Q$15="",0,IF($B409&lt;'信用保険料計算書（上限2000万）'!$Q$15,0,IF($B409&gt;'信用保険料計算書（上限2000万）'!$Q$16,0,1)))</f>
        <v>0</v>
      </c>
      <c r="Q409" s="209">
        <f>IF(P409=1,HLOOKUP(C409,'計算書（第7回）'!$C$123:$U$124,2,TRUE),0)</f>
        <v>0</v>
      </c>
      <c r="R409" s="212"/>
      <c r="S409" s="211">
        <f>COUNTIF($AB$13:$AB$19,"&lt;=2032/2/1")</f>
        <v>2</v>
      </c>
      <c r="T409" s="178">
        <f t="shared" si="51"/>
        <v>44743</v>
      </c>
      <c r="U409" s="181">
        <f t="shared" si="48"/>
        <v>0</v>
      </c>
      <c r="V409" s="182">
        <f t="shared" si="53"/>
        <v>0</v>
      </c>
      <c r="W409" s="245">
        <f t="shared" si="52"/>
        <v>0</v>
      </c>
      <c r="X409" s="182"/>
    </row>
    <row r="410" spans="2:24">
      <c r="B410" s="214">
        <f t="shared" si="50"/>
        <v>53022</v>
      </c>
      <c r="C410" s="198">
        <f t="shared" si="47"/>
        <v>52994</v>
      </c>
      <c r="D410" s="209">
        <f>IF(B410&lt;'信用保険料計算書（上限2000万）'!$E$15,0,IF(B410&gt;'信用保険料計算書（上限2000万）'!$E$16,0,1))</f>
        <v>0</v>
      </c>
      <c r="E410" s="209">
        <f>IF(D410=1,HLOOKUP(C410,'計算書（第1回）'!$C$123:$U$124,2,TRUE),0)</f>
        <v>0</v>
      </c>
      <c r="F410" s="209">
        <f>IF('信用保険料計算書（上限2000万）'!$G$15="",0,IF($B410&lt;'信用保険料計算書（上限2000万）'!$G$15,0,IF($B410&gt;'信用保険料計算書（上限2000万）'!$G$16,0,1)))</f>
        <v>0</v>
      </c>
      <c r="G410" s="209">
        <f>IF(F410=1,HLOOKUP(C410,'計算書（第2回）'!$C$123:$U$124,2,TRUE),0)</f>
        <v>0</v>
      </c>
      <c r="H410" s="209">
        <f>IF('信用保険料計算書（上限2000万）'!$I$15="",0,IF($B410&lt;'信用保険料計算書（上限2000万）'!$I$15,0,IF($B410&gt;'信用保険料計算書（上限2000万）'!$I$16,0,1)))</f>
        <v>0</v>
      </c>
      <c r="I410" s="209">
        <f>IF(H410=1,HLOOKUP(C410,'計算書（第3回）'!$C$123:$U$124,2,TRUE),0)</f>
        <v>0</v>
      </c>
      <c r="J410" s="209">
        <f>IF('信用保険料計算書（上限2000万）'!$K$15="",0,IF($B410&lt;'信用保険料計算書（上限2000万）'!$K$15,0,IF($B410&gt;'信用保険料計算書（上限2000万）'!$K$16,0,1)))</f>
        <v>0</v>
      </c>
      <c r="K410" s="209">
        <f>IF(J410=1,HLOOKUP(C410,'計算書（第4回）'!$C$123:$U$124,2,TRUE),0)</f>
        <v>0</v>
      </c>
      <c r="L410" s="209">
        <f>IF('信用保険料計算書（上限2000万）'!$M$15="",0,IF($B410&lt;'信用保険料計算書（上限2000万）'!$M$15,0,IF($B410&gt;'信用保険料計算書（上限2000万）'!$M$16,0,1)))</f>
        <v>0</v>
      </c>
      <c r="M410" s="209">
        <f>IF(L410=1,HLOOKUP(C410,'計算書（第5回）'!$C$123:$U$124,2,TRUE),0)</f>
        <v>0</v>
      </c>
      <c r="N410" s="209">
        <f>IF('信用保険料計算書（上限2000万）'!$O$15="",0,IF($B410&lt;'信用保険料計算書（上限2000万）'!$O$15,0,IF($B410&gt;'信用保険料計算書（上限2000万）'!$O$16,0,1)))</f>
        <v>0</v>
      </c>
      <c r="O410" s="209">
        <f>IF(N410=1,HLOOKUP(C410,'計算書（第6回）'!$C$123:$U$124,2,TRUE),0)</f>
        <v>0</v>
      </c>
      <c r="P410" s="209">
        <f>IF('信用保険料計算書（上限2000万）'!$Q$15="",0,IF($B410&lt;'信用保険料計算書（上限2000万）'!$Q$15,0,IF($B410&gt;'信用保険料計算書（上限2000万）'!$Q$16,0,1)))</f>
        <v>0</v>
      </c>
      <c r="Q410" s="209">
        <f>IF(P410=1,HLOOKUP(C410,'計算書（第7回）'!$C$123:$U$124,2,TRUE),0)</f>
        <v>0</v>
      </c>
      <c r="R410" s="212"/>
      <c r="S410" s="211">
        <f>COUNTIF($AB$13:$AB$19,"&lt;=2032/3/1")</f>
        <v>2</v>
      </c>
      <c r="T410" s="178">
        <f t="shared" si="51"/>
        <v>44743</v>
      </c>
      <c r="U410" s="181">
        <f t="shared" si="48"/>
        <v>0</v>
      </c>
      <c r="V410" s="182">
        <f t="shared" si="53"/>
        <v>0</v>
      </c>
      <c r="W410" s="245">
        <f t="shared" si="52"/>
        <v>0</v>
      </c>
      <c r="X410" s="183">
        <f>INT(SUM(W405:W410))</f>
        <v>0</v>
      </c>
    </row>
    <row r="411" spans="2:24">
      <c r="B411" s="214">
        <f t="shared" si="50"/>
        <v>53053</v>
      </c>
      <c r="C411" s="198">
        <f t="shared" si="47"/>
        <v>53022</v>
      </c>
      <c r="D411" s="209">
        <f>IF(B411&lt;'信用保険料計算書（上限2000万）'!$E$15,0,IF(B411&gt;'信用保険料計算書（上限2000万）'!$E$16,0,1))</f>
        <v>0</v>
      </c>
      <c r="E411" s="209">
        <f>IF(D411=1,HLOOKUP(C411,'計算書（第1回）'!$C$123:$U$124,2,TRUE),0)</f>
        <v>0</v>
      </c>
      <c r="F411" s="209">
        <f>IF('信用保険料計算書（上限2000万）'!$G$15="",0,IF($B411&lt;'信用保険料計算書（上限2000万）'!$G$15,0,IF($B411&gt;'信用保険料計算書（上限2000万）'!$G$16,0,1)))</f>
        <v>0</v>
      </c>
      <c r="G411" s="209">
        <f>IF(F411=1,HLOOKUP(C411,'計算書（第2回）'!$C$123:$U$124,2,TRUE),0)</f>
        <v>0</v>
      </c>
      <c r="H411" s="209">
        <f>IF('信用保険料計算書（上限2000万）'!$I$15="",0,IF($B411&lt;'信用保険料計算書（上限2000万）'!$I$15,0,IF($B411&gt;'信用保険料計算書（上限2000万）'!$I$16,0,1)))</f>
        <v>0</v>
      </c>
      <c r="I411" s="209">
        <f>IF(H411=1,HLOOKUP(C411,'計算書（第3回）'!$C$123:$U$124,2,TRUE),0)</f>
        <v>0</v>
      </c>
      <c r="J411" s="209">
        <f>IF('信用保険料計算書（上限2000万）'!$K$15="",0,IF($B411&lt;'信用保険料計算書（上限2000万）'!$K$15,0,IF($B411&gt;'信用保険料計算書（上限2000万）'!$K$16,0,1)))</f>
        <v>0</v>
      </c>
      <c r="K411" s="209">
        <f>IF(J411=1,HLOOKUP(C411,'計算書（第4回）'!$C$123:$U$124,2,TRUE),0)</f>
        <v>0</v>
      </c>
      <c r="L411" s="209">
        <f>IF('信用保険料計算書（上限2000万）'!$M$15="",0,IF($B411&lt;'信用保険料計算書（上限2000万）'!$M$15,0,IF($B411&gt;'信用保険料計算書（上限2000万）'!$M$16,0,1)))</f>
        <v>0</v>
      </c>
      <c r="M411" s="209">
        <f>IF(L411=1,HLOOKUP(C411,'計算書（第5回）'!$C$123:$U$124,2,TRUE),0)</f>
        <v>0</v>
      </c>
      <c r="N411" s="209">
        <f>IF('信用保険料計算書（上限2000万）'!$O$15="",0,IF($B411&lt;'信用保険料計算書（上限2000万）'!$O$15,0,IF($B411&gt;'信用保険料計算書（上限2000万）'!$O$16,0,1)))</f>
        <v>0</v>
      </c>
      <c r="O411" s="209">
        <f>IF(N411=1,HLOOKUP(C411,'計算書（第6回）'!$C$123:$U$124,2,TRUE),0)</f>
        <v>0</v>
      </c>
      <c r="P411" s="209">
        <f>IF('信用保険料計算書（上限2000万）'!$Q$15="",0,IF($B411&lt;'信用保険料計算書（上限2000万）'!$Q$15,0,IF($B411&gt;'信用保険料計算書（上限2000万）'!$Q$16,0,1)))</f>
        <v>0</v>
      </c>
      <c r="Q411" s="209">
        <f>IF(P411=1,HLOOKUP(C411,'計算書（第7回）'!$C$123:$U$124,2,TRUE),0)</f>
        <v>0</v>
      </c>
      <c r="R411" s="213"/>
      <c r="S411" s="211">
        <f>COUNTIF($AB$13:$AB$19,"&lt;=2031/4/1")</f>
        <v>2</v>
      </c>
      <c r="T411" s="178">
        <f t="shared" si="51"/>
        <v>44743</v>
      </c>
      <c r="U411" s="181">
        <f t="shared" si="48"/>
        <v>0</v>
      </c>
      <c r="V411" s="182">
        <f t="shared" ref="V411:V422" si="54">IF(U411=0,0,IF(U411&gt;VLOOKUP(T411,$AA$5:$AB$8,2,TRUE),VLOOKUP(T411,$AA$5:$AB$8,2,TRUE),U411))</f>
        <v>0</v>
      </c>
      <c r="W411" s="245">
        <f t="shared" si="52"/>
        <v>0</v>
      </c>
      <c r="X411" s="182"/>
    </row>
    <row r="412" spans="2:24">
      <c r="B412" s="214">
        <f t="shared" si="50"/>
        <v>53083</v>
      </c>
      <c r="C412" s="198">
        <f t="shared" si="47"/>
        <v>53053</v>
      </c>
      <c r="D412" s="209">
        <f>IF(B412&lt;'信用保険料計算書（上限2000万）'!$E$15,0,IF(B412&gt;'信用保険料計算書（上限2000万）'!$E$16,0,1))</f>
        <v>0</v>
      </c>
      <c r="E412" s="209">
        <f>IF(D412=1,HLOOKUP(C412,'計算書（第1回）'!$C$123:$U$124,2,TRUE),0)</f>
        <v>0</v>
      </c>
      <c r="F412" s="209">
        <f>IF('信用保険料計算書（上限2000万）'!$G$15="",0,IF($B412&lt;'信用保険料計算書（上限2000万）'!$G$15,0,IF($B412&gt;'信用保険料計算書（上限2000万）'!$G$16,0,1)))</f>
        <v>0</v>
      </c>
      <c r="G412" s="209">
        <f>IF(F412=1,HLOOKUP(C412,'計算書（第2回）'!$C$123:$U$124,2,TRUE),0)</f>
        <v>0</v>
      </c>
      <c r="H412" s="209">
        <f>IF('信用保険料計算書（上限2000万）'!$I$15="",0,IF($B412&lt;'信用保険料計算書（上限2000万）'!$I$15,0,IF($B412&gt;'信用保険料計算書（上限2000万）'!$I$16,0,1)))</f>
        <v>0</v>
      </c>
      <c r="I412" s="209">
        <f>IF(H412=1,HLOOKUP(C412,'計算書（第3回）'!$C$123:$U$124,2,TRUE),0)</f>
        <v>0</v>
      </c>
      <c r="J412" s="209">
        <f>IF('信用保険料計算書（上限2000万）'!$K$15="",0,IF($B412&lt;'信用保険料計算書（上限2000万）'!$K$15,0,IF($B412&gt;'信用保険料計算書（上限2000万）'!$K$16,0,1)))</f>
        <v>0</v>
      </c>
      <c r="K412" s="209">
        <f>IF(J412=1,HLOOKUP(C412,'計算書（第4回）'!$C$123:$U$124,2,TRUE),0)</f>
        <v>0</v>
      </c>
      <c r="L412" s="209">
        <f>IF('信用保険料計算書（上限2000万）'!$M$15="",0,IF($B412&lt;'信用保険料計算書（上限2000万）'!$M$15,0,IF($B412&gt;'信用保険料計算書（上限2000万）'!$M$16,0,1)))</f>
        <v>0</v>
      </c>
      <c r="M412" s="209">
        <f>IF(L412=1,HLOOKUP(C412,'計算書（第5回）'!$C$123:$U$124,2,TRUE),0)</f>
        <v>0</v>
      </c>
      <c r="N412" s="209">
        <f>IF('信用保険料計算書（上限2000万）'!$O$15="",0,IF($B412&lt;'信用保険料計算書（上限2000万）'!$O$15,0,IF($B412&gt;'信用保険料計算書（上限2000万）'!$O$16,0,1)))</f>
        <v>0</v>
      </c>
      <c r="O412" s="209">
        <f>IF(N412=1,HLOOKUP(C412,'計算書（第6回）'!$C$123:$U$124,2,TRUE),0)</f>
        <v>0</v>
      </c>
      <c r="P412" s="209">
        <f>IF('信用保険料計算書（上限2000万）'!$Q$15="",0,IF($B412&lt;'信用保険料計算書（上限2000万）'!$Q$15,0,IF($B412&gt;'信用保険料計算書（上限2000万）'!$Q$16,0,1)))</f>
        <v>0</v>
      </c>
      <c r="Q412" s="209">
        <f>IF(P412=1,HLOOKUP(C412,'計算書（第7回）'!$C$123:$U$124,2,TRUE),0)</f>
        <v>0</v>
      </c>
      <c r="R412" s="213"/>
      <c r="S412" s="211">
        <f>COUNTIF($AB$13:$AB$19,"&lt;=2031/5/1")</f>
        <v>2</v>
      </c>
      <c r="T412" s="178">
        <f t="shared" si="51"/>
        <v>44743</v>
      </c>
      <c r="U412" s="181">
        <f t="shared" si="48"/>
        <v>0</v>
      </c>
      <c r="V412" s="182">
        <f t="shared" si="54"/>
        <v>0</v>
      </c>
      <c r="W412" s="245">
        <f t="shared" si="52"/>
        <v>0</v>
      </c>
      <c r="X412" s="182"/>
    </row>
    <row r="413" spans="2:24">
      <c r="B413" s="214">
        <f t="shared" si="50"/>
        <v>53114</v>
      </c>
      <c r="C413" s="198">
        <f t="shared" si="47"/>
        <v>53083</v>
      </c>
      <c r="D413" s="209">
        <f>IF(B413&lt;'信用保険料計算書（上限2000万）'!$E$15,0,IF(B413&gt;'信用保険料計算書（上限2000万）'!$E$16,0,1))</f>
        <v>0</v>
      </c>
      <c r="E413" s="209">
        <f>IF(D413=1,HLOOKUP(C413,'計算書（第1回）'!$C$123:$U$124,2,TRUE),0)</f>
        <v>0</v>
      </c>
      <c r="F413" s="209">
        <f>IF('信用保険料計算書（上限2000万）'!$G$15="",0,IF($B413&lt;'信用保険料計算書（上限2000万）'!$G$15,0,IF($B413&gt;'信用保険料計算書（上限2000万）'!$G$16,0,1)))</f>
        <v>0</v>
      </c>
      <c r="G413" s="209">
        <f>IF(F413=1,HLOOKUP(C413,'計算書（第2回）'!$C$123:$U$124,2,TRUE),0)</f>
        <v>0</v>
      </c>
      <c r="H413" s="209">
        <f>IF('信用保険料計算書（上限2000万）'!$I$15="",0,IF($B413&lt;'信用保険料計算書（上限2000万）'!$I$15,0,IF($B413&gt;'信用保険料計算書（上限2000万）'!$I$16,0,1)))</f>
        <v>0</v>
      </c>
      <c r="I413" s="209">
        <f>IF(H413=1,HLOOKUP(C413,'計算書（第3回）'!$C$123:$U$124,2,TRUE),0)</f>
        <v>0</v>
      </c>
      <c r="J413" s="209">
        <f>IF('信用保険料計算書（上限2000万）'!$K$15="",0,IF($B413&lt;'信用保険料計算書（上限2000万）'!$K$15,0,IF($B413&gt;'信用保険料計算書（上限2000万）'!$K$16,0,1)))</f>
        <v>0</v>
      </c>
      <c r="K413" s="209">
        <f>IF(J413=1,HLOOKUP(C413,'計算書（第4回）'!$C$123:$U$124,2,TRUE),0)</f>
        <v>0</v>
      </c>
      <c r="L413" s="209">
        <f>IF('信用保険料計算書（上限2000万）'!$M$15="",0,IF($B413&lt;'信用保険料計算書（上限2000万）'!$M$15,0,IF($B413&gt;'信用保険料計算書（上限2000万）'!$M$16,0,1)))</f>
        <v>0</v>
      </c>
      <c r="M413" s="209">
        <f>IF(L413=1,HLOOKUP(C413,'計算書（第5回）'!$C$123:$U$124,2,TRUE),0)</f>
        <v>0</v>
      </c>
      <c r="N413" s="209">
        <f>IF('信用保険料計算書（上限2000万）'!$O$15="",0,IF($B413&lt;'信用保険料計算書（上限2000万）'!$O$15,0,IF($B413&gt;'信用保険料計算書（上限2000万）'!$O$16,0,1)))</f>
        <v>0</v>
      </c>
      <c r="O413" s="209">
        <f>IF(N413=1,HLOOKUP(C413,'計算書（第6回）'!$C$123:$U$124,2,TRUE),0)</f>
        <v>0</v>
      </c>
      <c r="P413" s="209">
        <f>IF('信用保険料計算書（上限2000万）'!$Q$15="",0,IF($B413&lt;'信用保険料計算書（上限2000万）'!$Q$15,0,IF($B413&gt;'信用保険料計算書（上限2000万）'!$Q$16,0,1)))</f>
        <v>0</v>
      </c>
      <c r="Q413" s="209">
        <f>IF(P413=1,HLOOKUP(C413,'計算書（第7回）'!$C$123:$U$124,2,TRUE),0)</f>
        <v>0</v>
      </c>
      <c r="R413" s="213"/>
      <c r="S413" s="211">
        <f>COUNTIF($AB$13:$AB$19,"&lt;=2031/6/1")</f>
        <v>2</v>
      </c>
      <c r="T413" s="178">
        <f t="shared" si="51"/>
        <v>44743</v>
      </c>
      <c r="U413" s="181">
        <f t="shared" si="48"/>
        <v>0</v>
      </c>
      <c r="V413" s="182">
        <f t="shared" si="54"/>
        <v>0</v>
      </c>
      <c r="W413" s="245">
        <f t="shared" si="52"/>
        <v>0</v>
      </c>
      <c r="X413" s="182"/>
    </row>
    <row r="414" spans="2:24">
      <c r="B414" s="214">
        <f t="shared" si="50"/>
        <v>53144</v>
      </c>
      <c r="C414" s="198">
        <f t="shared" si="47"/>
        <v>53114</v>
      </c>
      <c r="D414" s="209">
        <f>IF(B414&lt;'信用保険料計算書（上限2000万）'!$E$15,0,IF(B414&gt;'信用保険料計算書（上限2000万）'!$E$16,0,1))</f>
        <v>0</v>
      </c>
      <c r="E414" s="209">
        <f>IF(D414=1,HLOOKUP(C414,'計算書（第1回）'!$C$123:$U$124,2,TRUE),0)</f>
        <v>0</v>
      </c>
      <c r="F414" s="209">
        <f>IF('信用保険料計算書（上限2000万）'!$G$15="",0,IF($B414&lt;'信用保険料計算書（上限2000万）'!$G$15,0,IF($B414&gt;'信用保険料計算書（上限2000万）'!$G$16,0,1)))</f>
        <v>0</v>
      </c>
      <c r="G414" s="209">
        <f>IF(F414=1,HLOOKUP(C414,'計算書（第2回）'!$C$123:$U$124,2,TRUE),0)</f>
        <v>0</v>
      </c>
      <c r="H414" s="209">
        <f>IF('信用保険料計算書（上限2000万）'!$I$15="",0,IF($B414&lt;'信用保険料計算書（上限2000万）'!$I$15,0,IF($B414&gt;'信用保険料計算書（上限2000万）'!$I$16,0,1)))</f>
        <v>0</v>
      </c>
      <c r="I414" s="209">
        <f>IF(H414=1,HLOOKUP(C414,'計算書（第3回）'!$C$123:$U$124,2,TRUE),0)</f>
        <v>0</v>
      </c>
      <c r="J414" s="209">
        <f>IF('信用保険料計算書（上限2000万）'!$K$15="",0,IF($B414&lt;'信用保険料計算書（上限2000万）'!$K$15,0,IF($B414&gt;'信用保険料計算書（上限2000万）'!$K$16,0,1)))</f>
        <v>0</v>
      </c>
      <c r="K414" s="209">
        <f>IF(J414=1,HLOOKUP(C414,'計算書（第4回）'!$C$123:$U$124,2,TRUE),0)</f>
        <v>0</v>
      </c>
      <c r="L414" s="209">
        <f>IF('信用保険料計算書（上限2000万）'!$M$15="",0,IF($B414&lt;'信用保険料計算書（上限2000万）'!$M$15,0,IF($B414&gt;'信用保険料計算書（上限2000万）'!$M$16,0,1)))</f>
        <v>0</v>
      </c>
      <c r="M414" s="209">
        <f>IF(L414=1,HLOOKUP(C414,'計算書（第5回）'!$C$123:$U$124,2,TRUE),0)</f>
        <v>0</v>
      </c>
      <c r="N414" s="209">
        <f>IF('信用保険料計算書（上限2000万）'!$O$15="",0,IF($B414&lt;'信用保険料計算書（上限2000万）'!$O$15,0,IF($B414&gt;'信用保険料計算書（上限2000万）'!$O$16,0,1)))</f>
        <v>0</v>
      </c>
      <c r="O414" s="209">
        <f>IF(N414=1,HLOOKUP(C414,'計算書（第6回）'!$C$123:$U$124,2,TRUE),0)</f>
        <v>0</v>
      </c>
      <c r="P414" s="209">
        <f>IF('信用保険料計算書（上限2000万）'!$Q$15="",0,IF($B414&lt;'信用保険料計算書（上限2000万）'!$Q$15,0,IF($B414&gt;'信用保険料計算書（上限2000万）'!$Q$16,0,1)))</f>
        <v>0</v>
      </c>
      <c r="Q414" s="209">
        <f>IF(P414=1,HLOOKUP(C414,'計算書（第7回）'!$C$123:$U$124,2,TRUE),0)</f>
        <v>0</v>
      </c>
      <c r="R414" s="213"/>
      <c r="S414" s="211">
        <f>COUNTIF($AB$13:$AB$19,"&lt;=2031/7/1")</f>
        <v>2</v>
      </c>
      <c r="T414" s="178">
        <f t="shared" si="51"/>
        <v>44743</v>
      </c>
      <c r="U414" s="181">
        <f t="shared" si="48"/>
        <v>0</v>
      </c>
      <c r="V414" s="182">
        <f t="shared" si="54"/>
        <v>0</v>
      </c>
      <c r="W414" s="245">
        <f t="shared" si="52"/>
        <v>0</v>
      </c>
      <c r="X414" s="182"/>
    </row>
    <row r="415" spans="2:24">
      <c r="B415" s="214">
        <f t="shared" si="50"/>
        <v>53175</v>
      </c>
      <c r="C415" s="198">
        <f t="shared" si="47"/>
        <v>53144</v>
      </c>
      <c r="D415" s="209">
        <f>IF(B415&lt;'信用保険料計算書（上限2000万）'!$E$15,0,IF(B415&gt;'信用保険料計算書（上限2000万）'!$E$16,0,1))</f>
        <v>0</v>
      </c>
      <c r="E415" s="209">
        <f>IF(D415=1,HLOOKUP(C415,'計算書（第1回）'!$C$123:$U$124,2,TRUE),0)</f>
        <v>0</v>
      </c>
      <c r="F415" s="209">
        <f>IF('信用保険料計算書（上限2000万）'!$G$15="",0,IF($B415&lt;'信用保険料計算書（上限2000万）'!$G$15,0,IF($B415&gt;'信用保険料計算書（上限2000万）'!$G$16,0,1)))</f>
        <v>0</v>
      </c>
      <c r="G415" s="209">
        <f>IF(F415=1,HLOOKUP(C415,'計算書（第2回）'!$C$123:$U$124,2,TRUE),0)</f>
        <v>0</v>
      </c>
      <c r="H415" s="209">
        <f>IF('信用保険料計算書（上限2000万）'!$I$15="",0,IF($B415&lt;'信用保険料計算書（上限2000万）'!$I$15,0,IF($B415&gt;'信用保険料計算書（上限2000万）'!$I$16,0,1)))</f>
        <v>0</v>
      </c>
      <c r="I415" s="209">
        <f>IF(H415=1,HLOOKUP(C415,'計算書（第3回）'!$C$123:$U$124,2,TRUE),0)</f>
        <v>0</v>
      </c>
      <c r="J415" s="209">
        <f>IF('信用保険料計算書（上限2000万）'!$K$15="",0,IF($B415&lt;'信用保険料計算書（上限2000万）'!$K$15,0,IF($B415&gt;'信用保険料計算書（上限2000万）'!$K$16,0,1)))</f>
        <v>0</v>
      </c>
      <c r="K415" s="209">
        <f>IF(J415=1,HLOOKUP(C415,'計算書（第4回）'!$C$123:$U$124,2,TRUE),0)</f>
        <v>0</v>
      </c>
      <c r="L415" s="209">
        <f>IF('信用保険料計算書（上限2000万）'!$M$15="",0,IF($B415&lt;'信用保険料計算書（上限2000万）'!$M$15,0,IF($B415&gt;'信用保険料計算書（上限2000万）'!$M$16,0,1)))</f>
        <v>0</v>
      </c>
      <c r="M415" s="209">
        <f>IF(L415=1,HLOOKUP(C415,'計算書（第5回）'!$C$123:$U$124,2,TRUE),0)</f>
        <v>0</v>
      </c>
      <c r="N415" s="209">
        <f>IF('信用保険料計算書（上限2000万）'!$O$15="",0,IF($B415&lt;'信用保険料計算書（上限2000万）'!$O$15,0,IF($B415&gt;'信用保険料計算書（上限2000万）'!$O$16,0,1)))</f>
        <v>0</v>
      </c>
      <c r="O415" s="209">
        <f>IF(N415=1,HLOOKUP(C415,'計算書（第6回）'!$C$123:$U$124,2,TRUE),0)</f>
        <v>0</v>
      </c>
      <c r="P415" s="209">
        <f>IF('信用保険料計算書（上限2000万）'!$Q$15="",0,IF($B415&lt;'信用保険料計算書（上限2000万）'!$Q$15,0,IF($B415&gt;'信用保険料計算書（上限2000万）'!$Q$16,0,1)))</f>
        <v>0</v>
      </c>
      <c r="Q415" s="209">
        <f>IF(P415=1,HLOOKUP(C415,'計算書（第7回）'!$C$123:$U$124,2,TRUE),0)</f>
        <v>0</v>
      </c>
      <c r="R415" s="213"/>
      <c r="S415" s="211">
        <f>COUNTIF($AB$13:$AB$19,"&lt;=2031/8/1")</f>
        <v>2</v>
      </c>
      <c r="T415" s="178">
        <f t="shared" si="51"/>
        <v>44743</v>
      </c>
      <c r="U415" s="181">
        <f t="shared" si="48"/>
        <v>0</v>
      </c>
      <c r="V415" s="182">
        <f t="shared" si="54"/>
        <v>0</v>
      </c>
      <c r="W415" s="245">
        <f t="shared" si="52"/>
        <v>0</v>
      </c>
      <c r="X415" s="182"/>
    </row>
    <row r="416" spans="2:24">
      <c r="B416" s="214">
        <f t="shared" si="50"/>
        <v>53206</v>
      </c>
      <c r="C416" s="198">
        <f t="shared" si="47"/>
        <v>53175</v>
      </c>
      <c r="D416" s="209">
        <f>IF(B416&lt;'信用保険料計算書（上限2000万）'!$E$15,0,IF(B416&gt;'信用保険料計算書（上限2000万）'!$E$16,0,1))</f>
        <v>0</v>
      </c>
      <c r="E416" s="209">
        <f>IF(D416=1,HLOOKUP(C416,'計算書（第1回）'!$C$123:$U$124,2,TRUE),0)</f>
        <v>0</v>
      </c>
      <c r="F416" s="209">
        <f>IF('信用保険料計算書（上限2000万）'!$G$15="",0,IF($B416&lt;'信用保険料計算書（上限2000万）'!$G$15,0,IF($B416&gt;'信用保険料計算書（上限2000万）'!$G$16,0,1)))</f>
        <v>0</v>
      </c>
      <c r="G416" s="209">
        <f>IF(F416=1,HLOOKUP(C416,'計算書（第2回）'!$C$123:$U$124,2,TRUE),0)</f>
        <v>0</v>
      </c>
      <c r="H416" s="209">
        <f>IF('信用保険料計算書（上限2000万）'!$I$15="",0,IF($B416&lt;'信用保険料計算書（上限2000万）'!$I$15,0,IF($B416&gt;'信用保険料計算書（上限2000万）'!$I$16,0,1)))</f>
        <v>0</v>
      </c>
      <c r="I416" s="209">
        <f>IF(H416=1,HLOOKUP(C416,'計算書（第3回）'!$C$123:$U$124,2,TRUE),0)</f>
        <v>0</v>
      </c>
      <c r="J416" s="209">
        <f>IF('信用保険料計算書（上限2000万）'!$K$15="",0,IF($B416&lt;'信用保険料計算書（上限2000万）'!$K$15,0,IF($B416&gt;'信用保険料計算書（上限2000万）'!$K$16,0,1)))</f>
        <v>0</v>
      </c>
      <c r="K416" s="209">
        <f>IF(J416=1,HLOOKUP(C416,'計算書（第4回）'!$C$123:$U$124,2,TRUE),0)</f>
        <v>0</v>
      </c>
      <c r="L416" s="209">
        <f>IF('信用保険料計算書（上限2000万）'!$M$15="",0,IF($B416&lt;'信用保険料計算書（上限2000万）'!$M$15,0,IF($B416&gt;'信用保険料計算書（上限2000万）'!$M$16,0,1)))</f>
        <v>0</v>
      </c>
      <c r="M416" s="209">
        <f>IF(L416=1,HLOOKUP(C416,'計算書（第5回）'!$C$123:$U$124,2,TRUE),0)</f>
        <v>0</v>
      </c>
      <c r="N416" s="209">
        <f>IF('信用保険料計算書（上限2000万）'!$O$15="",0,IF($B416&lt;'信用保険料計算書（上限2000万）'!$O$15,0,IF($B416&gt;'信用保険料計算書（上限2000万）'!$O$16,0,1)))</f>
        <v>0</v>
      </c>
      <c r="O416" s="209">
        <f>IF(N416=1,HLOOKUP(C416,'計算書（第6回）'!$C$123:$U$124,2,TRUE),0)</f>
        <v>0</v>
      </c>
      <c r="P416" s="209">
        <f>IF('信用保険料計算書（上限2000万）'!$Q$15="",0,IF($B416&lt;'信用保険料計算書（上限2000万）'!$Q$15,0,IF($B416&gt;'信用保険料計算書（上限2000万）'!$Q$16,0,1)))</f>
        <v>0</v>
      </c>
      <c r="Q416" s="209">
        <f>IF(P416=1,HLOOKUP(C416,'計算書（第7回）'!$C$123:$U$124,2,TRUE),0)</f>
        <v>0</v>
      </c>
      <c r="R416" s="213"/>
      <c r="S416" s="211">
        <f>COUNTIF($AB$13:$AB$19,"&lt;=2031/9/1")</f>
        <v>2</v>
      </c>
      <c r="T416" s="178">
        <f t="shared" si="51"/>
        <v>44743</v>
      </c>
      <c r="U416" s="181">
        <f t="shared" si="48"/>
        <v>0</v>
      </c>
      <c r="V416" s="182">
        <f t="shared" si="54"/>
        <v>0</v>
      </c>
      <c r="W416" s="245">
        <f t="shared" si="52"/>
        <v>0</v>
      </c>
      <c r="X416" s="183">
        <f>INT(SUM(W411:W416))</f>
        <v>0</v>
      </c>
    </row>
    <row r="417" spans="2:24">
      <c r="B417" s="214">
        <f t="shared" si="50"/>
        <v>53236</v>
      </c>
      <c r="C417" s="198">
        <f t="shared" si="47"/>
        <v>53206</v>
      </c>
      <c r="D417" s="209">
        <f>IF(B417&lt;'信用保険料計算書（上限2000万）'!$E$15,0,IF(B417&gt;'信用保険料計算書（上限2000万）'!$E$16,0,1))</f>
        <v>0</v>
      </c>
      <c r="E417" s="209">
        <f>IF(D417=1,HLOOKUP(C417,'計算書（第1回）'!$C$123:$U$124,2,TRUE),0)</f>
        <v>0</v>
      </c>
      <c r="F417" s="209">
        <f>IF('信用保険料計算書（上限2000万）'!$G$15="",0,IF($B417&lt;'信用保険料計算書（上限2000万）'!$G$15,0,IF($B417&gt;'信用保険料計算書（上限2000万）'!$G$16,0,1)))</f>
        <v>0</v>
      </c>
      <c r="G417" s="209">
        <f>IF(F417=1,HLOOKUP(C417,'計算書（第2回）'!$C$123:$U$124,2,TRUE),0)</f>
        <v>0</v>
      </c>
      <c r="H417" s="209">
        <f>IF('信用保険料計算書（上限2000万）'!$I$15="",0,IF($B417&lt;'信用保険料計算書（上限2000万）'!$I$15,0,IF($B417&gt;'信用保険料計算書（上限2000万）'!$I$16,0,1)))</f>
        <v>0</v>
      </c>
      <c r="I417" s="209">
        <f>IF(H417=1,HLOOKUP(C417,'計算書（第3回）'!$C$123:$U$124,2,TRUE),0)</f>
        <v>0</v>
      </c>
      <c r="J417" s="209">
        <f>IF('信用保険料計算書（上限2000万）'!$K$15="",0,IF($B417&lt;'信用保険料計算書（上限2000万）'!$K$15,0,IF($B417&gt;'信用保険料計算書（上限2000万）'!$K$16,0,1)))</f>
        <v>0</v>
      </c>
      <c r="K417" s="209">
        <f>IF(J417=1,HLOOKUP(C417,'計算書（第4回）'!$C$123:$U$124,2,TRUE),0)</f>
        <v>0</v>
      </c>
      <c r="L417" s="209">
        <f>IF('信用保険料計算書（上限2000万）'!$M$15="",0,IF($B417&lt;'信用保険料計算書（上限2000万）'!$M$15,0,IF($B417&gt;'信用保険料計算書（上限2000万）'!$M$16,0,1)))</f>
        <v>0</v>
      </c>
      <c r="M417" s="209">
        <f>IF(L417=1,HLOOKUP(C417,'計算書（第5回）'!$C$123:$U$124,2,TRUE),0)</f>
        <v>0</v>
      </c>
      <c r="N417" s="209">
        <f>IF('信用保険料計算書（上限2000万）'!$O$15="",0,IF($B417&lt;'信用保険料計算書（上限2000万）'!$O$15,0,IF($B417&gt;'信用保険料計算書（上限2000万）'!$O$16,0,1)))</f>
        <v>0</v>
      </c>
      <c r="O417" s="209">
        <f>IF(N417=1,HLOOKUP(C417,'計算書（第6回）'!$C$123:$U$124,2,TRUE),0)</f>
        <v>0</v>
      </c>
      <c r="P417" s="209">
        <f>IF('信用保険料計算書（上限2000万）'!$Q$15="",0,IF($B417&lt;'信用保険料計算書（上限2000万）'!$Q$15,0,IF($B417&gt;'信用保険料計算書（上限2000万）'!$Q$16,0,1)))</f>
        <v>0</v>
      </c>
      <c r="Q417" s="209">
        <f>IF(P417=1,HLOOKUP(C417,'計算書（第7回）'!$C$123:$U$124,2,TRUE),0)</f>
        <v>0</v>
      </c>
      <c r="R417" s="213"/>
      <c r="S417" s="211">
        <f>COUNTIF($AB$13:$AB$19,"&lt;=2031/10/1")</f>
        <v>2</v>
      </c>
      <c r="T417" s="178">
        <f t="shared" si="51"/>
        <v>44743</v>
      </c>
      <c r="U417" s="181">
        <f t="shared" si="48"/>
        <v>0</v>
      </c>
      <c r="V417" s="182">
        <f t="shared" si="54"/>
        <v>0</v>
      </c>
      <c r="W417" s="245">
        <f t="shared" si="52"/>
        <v>0</v>
      </c>
      <c r="X417" s="182"/>
    </row>
    <row r="418" spans="2:24">
      <c r="B418" s="214">
        <f t="shared" si="50"/>
        <v>53267</v>
      </c>
      <c r="C418" s="198">
        <f t="shared" si="47"/>
        <v>53236</v>
      </c>
      <c r="D418" s="209">
        <f>IF(B418&lt;'信用保険料計算書（上限2000万）'!$E$15,0,IF(B418&gt;'信用保険料計算書（上限2000万）'!$E$16,0,1))</f>
        <v>0</v>
      </c>
      <c r="E418" s="209">
        <f>IF(D418=1,HLOOKUP(C418,'計算書（第1回）'!$C$123:$U$124,2,TRUE),0)</f>
        <v>0</v>
      </c>
      <c r="F418" s="209">
        <f>IF('信用保険料計算書（上限2000万）'!$G$15="",0,IF($B418&lt;'信用保険料計算書（上限2000万）'!$G$15,0,IF($B418&gt;'信用保険料計算書（上限2000万）'!$G$16,0,1)))</f>
        <v>0</v>
      </c>
      <c r="G418" s="209">
        <f>IF(F418=1,HLOOKUP(C418,'計算書（第2回）'!$C$123:$U$124,2,TRUE),0)</f>
        <v>0</v>
      </c>
      <c r="H418" s="209">
        <f>IF('信用保険料計算書（上限2000万）'!$I$15="",0,IF($B418&lt;'信用保険料計算書（上限2000万）'!$I$15,0,IF($B418&gt;'信用保険料計算書（上限2000万）'!$I$16,0,1)))</f>
        <v>0</v>
      </c>
      <c r="I418" s="209">
        <f>IF(H418=1,HLOOKUP(C418,'計算書（第3回）'!$C$123:$U$124,2,TRUE),0)</f>
        <v>0</v>
      </c>
      <c r="J418" s="209">
        <f>IF('信用保険料計算書（上限2000万）'!$K$15="",0,IF($B418&lt;'信用保険料計算書（上限2000万）'!$K$15,0,IF($B418&gt;'信用保険料計算書（上限2000万）'!$K$16,0,1)))</f>
        <v>0</v>
      </c>
      <c r="K418" s="209">
        <f>IF(J418=1,HLOOKUP(C418,'計算書（第4回）'!$C$123:$U$124,2,TRUE),0)</f>
        <v>0</v>
      </c>
      <c r="L418" s="209">
        <f>IF('信用保険料計算書（上限2000万）'!$M$15="",0,IF($B418&lt;'信用保険料計算書（上限2000万）'!$M$15,0,IF($B418&gt;'信用保険料計算書（上限2000万）'!$M$16,0,1)))</f>
        <v>0</v>
      </c>
      <c r="M418" s="209">
        <f>IF(L418=1,HLOOKUP(C418,'計算書（第5回）'!$C$123:$U$124,2,TRUE),0)</f>
        <v>0</v>
      </c>
      <c r="N418" s="209">
        <f>IF('信用保険料計算書（上限2000万）'!$O$15="",0,IF($B418&lt;'信用保険料計算書（上限2000万）'!$O$15,0,IF($B418&gt;'信用保険料計算書（上限2000万）'!$O$16,0,1)))</f>
        <v>0</v>
      </c>
      <c r="O418" s="209">
        <f>IF(N418=1,HLOOKUP(C418,'計算書（第6回）'!$C$123:$U$124,2,TRUE),0)</f>
        <v>0</v>
      </c>
      <c r="P418" s="209">
        <f>IF('信用保険料計算書（上限2000万）'!$Q$15="",0,IF($B418&lt;'信用保険料計算書（上限2000万）'!$Q$15,0,IF($B418&gt;'信用保険料計算書（上限2000万）'!$Q$16,0,1)))</f>
        <v>0</v>
      </c>
      <c r="Q418" s="209">
        <f>IF(P418=1,HLOOKUP(C418,'計算書（第7回）'!$C$123:$U$124,2,TRUE),0)</f>
        <v>0</v>
      </c>
      <c r="R418" s="213"/>
      <c r="S418" s="211">
        <f>COUNTIF($AB$13:$AB$19,"&lt;=2031/11/1")</f>
        <v>2</v>
      </c>
      <c r="T418" s="178">
        <f t="shared" si="51"/>
        <v>44743</v>
      </c>
      <c r="U418" s="181">
        <f t="shared" si="48"/>
        <v>0</v>
      </c>
      <c r="V418" s="182">
        <f t="shared" si="54"/>
        <v>0</v>
      </c>
      <c r="W418" s="245">
        <f t="shared" si="52"/>
        <v>0</v>
      </c>
      <c r="X418" s="182"/>
    </row>
    <row r="419" spans="2:24">
      <c r="B419" s="214">
        <f t="shared" si="50"/>
        <v>53297</v>
      </c>
      <c r="C419" s="198">
        <f t="shared" si="47"/>
        <v>53267</v>
      </c>
      <c r="D419" s="209">
        <f>IF(B419&lt;'信用保険料計算書（上限2000万）'!$E$15,0,IF(B419&gt;'信用保険料計算書（上限2000万）'!$E$16,0,1))</f>
        <v>0</v>
      </c>
      <c r="E419" s="209">
        <f>IF(D419=1,HLOOKUP(C419,'計算書（第1回）'!$C$123:$U$124,2,TRUE),0)</f>
        <v>0</v>
      </c>
      <c r="F419" s="209">
        <f>IF('信用保険料計算書（上限2000万）'!$G$15="",0,IF($B419&lt;'信用保険料計算書（上限2000万）'!$G$15,0,IF($B419&gt;'信用保険料計算書（上限2000万）'!$G$16,0,1)))</f>
        <v>0</v>
      </c>
      <c r="G419" s="209">
        <f>IF(F419=1,HLOOKUP(C419,'計算書（第2回）'!$C$123:$U$124,2,TRUE),0)</f>
        <v>0</v>
      </c>
      <c r="H419" s="209">
        <f>IF('信用保険料計算書（上限2000万）'!$I$15="",0,IF($B419&lt;'信用保険料計算書（上限2000万）'!$I$15,0,IF($B419&gt;'信用保険料計算書（上限2000万）'!$I$16,0,1)))</f>
        <v>0</v>
      </c>
      <c r="I419" s="209">
        <f>IF(H419=1,HLOOKUP(C419,'計算書（第3回）'!$C$123:$U$124,2,TRUE),0)</f>
        <v>0</v>
      </c>
      <c r="J419" s="209">
        <f>IF('信用保険料計算書（上限2000万）'!$K$15="",0,IF($B419&lt;'信用保険料計算書（上限2000万）'!$K$15,0,IF($B419&gt;'信用保険料計算書（上限2000万）'!$K$16,0,1)))</f>
        <v>0</v>
      </c>
      <c r="K419" s="209">
        <f>IF(J419=1,HLOOKUP(C419,'計算書（第4回）'!$C$123:$U$124,2,TRUE),0)</f>
        <v>0</v>
      </c>
      <c r="L419" s="209">
        <f>IF('信用保険料計算書（上限2000万）'!$M$15="",0,IF($B419&lt;'信用保険料計算書（上限2000万）'!$M$15,0,IF($B419&gt;'信用保険料計算書（上限2000万）'!$M$16,0,1)))</f>
        <v>0</v>
      </c>
      <c r="M419" s="209">
        <f>IF(L419=1,HLOOKUP(C419,'計算書（第5回）'!$C$123:$U$124,2,TRUE),0)</f>
        <v>0</v>
      </c>
      <c r="N419" s="209">
        <f>IF('信用保険料計算書（上限2000万）'!$O$15="",0,IF($B419&lt;'信用保険料計算書（上限2000万）'!$O$15,0,IF($B419&gt;'信用保険料計算書（上限2000万）'!$O$16,0,1)))</f>
        <v>0</v>
      </c>
      <c r="O419" s="209">
        <f>IF(N419=1,HLOOKUP(C419,'計算書（第6回）'!$C$123:$U$124,2,TRUE),0)</f>
        <v>0</v>
      </c>
      <c r="P419" s="209">
        <f>IF('信用保険料計算書（上限2000万）'!$Q$15="",0,IF($B419&lt;'信用保険料計算書（上限2000万）'!$Q$15,0,IF($B419&gt;'信用保険料計算書（上限2000万）'!$Q$16,0,1)))</f>
        <v>0</v>
      </c>
      <c r="Q419" s="209">
        <f>IF(P419=1,HLOOKUP(C419,'計算書（第7回）'!$C$123:$U$124,2,TRUE),0)</f>
        <v>0</v>
      </c>
      <c r="R419" s="213"/>
      <c r="S419" s="211">
        <f>COUNTIF($AB$13:$AB$19,"&lt;=2031/12/1")</f>
        <v>2</v>
      </c>
      <c r="T419" s="178">
        <f t="shared" si="51"/>
        <v>44743</v>
      </c>
      <c r="U419" s="181">
        <f t="shared" si="48"/>
        <v>0</v>
      </c>
      <c r="V419" s="182">
        <f t="shared" si="54"/>
        <v>0</v>
      </c>
      <c r="W419" s="245">
        <f t="shared" si="52"/>
        <v>0</v>
      </c>
      <c r="X419" s="182"/>
    </row>
    <row r="420" spans="2:24">
      <c r="B420" s="214">
        <f t="shared" si="50"/>
        <v>53328</v>
      </c>
      <c r="C420" s="198">
        <f t="shared" si="47"/>
        <v>53297</v>
      </c>
      <c r="D420" s="209">
        <f>IF(B420&lt;'信用保険料計算書（上限2000万）'!$E$15,0,IF(B420&gt;'信用保険料計算書（上限2000万）'!$E$16,0,1))</f>
        <v>0</v>
      </c>
      <c r="E420" s="209">
        <f>IF(D420=1,HLOOKUP(C420,'計算書（第1回）'!$C$123:$U$124,2,TRUE),0)</f>
        <v>0</v>
      </c>
      <c r="F420" s="209">
        <f>IF('信用保険料計算書（上限2000万）'!$G$15="",0,IF($B420&lt;'信用保険料計算書（上限2000万）'!$G$15,0,IF($B420&gt;'信用保険料計算書（上限2000万）'!$G$16,0,1)))</f>
        <v>0</v>
      </c>
      <c r="G420" s="209">
        <f>IF(F420=1,HLOOKUP(C420,'計算書（第2回）'!$C$123:$U$124,2,TRUE),0)</f>
        <v>0</v>
      </c>
      <c r="H420" s="209">
        <f>IF('信用保険料計算書（上限2000万）'!$I$15="",0,IF($B420&lt;'信用保険料計算書（上限2000万）'!$I$15,0,IF($B420&gt;'信用保険料計算書（上限2000万）'!$I$16,0,1)))</f>
        <v>0</v>
      </c>
      <c r="I420" s="209">
        <f>IF(H420=1,HLOOKUP(C420,'計算書（第3回）'!$C$123:$U$124,2,TRUE),0)</f>
        <v>0</v>
      </c>
      <c r="J420" s="209">
        <f>IF('信用保険料計算書（上限2000万）'!$K$15="",0,IF($B420&lt;'信用保険料計算書（上限2000万）'!$K$15,0,IF($B420&gt;'信用保険料計算書（上限2000万）'!$K$16,0,1)))</f>
        <v>0</v>
      </c>
      <c r="K420" s="209">
        <f>IF(J420=1,HLOOKUP(C420,'計算書（第4回）'!$C$123:$U$124,2,TRUE),0)</f>
        <v>0</v>
      </c>
      <c r="L420" s="209">
        <f>IF('信用保険料計算書（上限2000万）'!$M$15="",0,IF($B420&lt;'信用保険料計算書（上限2000万）'!$M$15,0,IF($B420&gt;'信用保険料計算書（上限2000万）'!$M$16,0,1)))</f>
        <v>0</v>
      </c>
      <c r="M420" s="209">
        <f>IF(L420=1,HLOOKUP(C420,'計算書（第5回）'!$C$123:$U$124,2,TRUE),0)</f>
        <v>0</v>
      </c>
      <c r="N420" s="209">
        <f>IF('信用保険料計算書（上限2000万）'!$O$15="",0,IF($B420&lt;'信用保険料計算書（上限2000万）'!$O$15,0,IF($B420&gt;'信用保険料計算書（上限2000万）'!$O$16,0,1)))</f>
        <v>0</v>
      </c>
      <c r="O420" s="209">
        <f>IF(N420=1,HLOOKUP(C420,'計算書（第6回）'!$C$123:$U$124,2,TRUE),0)</f>
        <v>0</v>
      </c>
      <c r="P420" s="209">
        <f>IF('信用保険料計算書（上限2000万）'!$Q$15="",0,IF($B420&lt;'信用保険料計算書（上限2000万）'!$Q$15,0,IF($B420&gt;'信用保険料計算書（上限2000万）'!$Q$16,0,1)))</f>
        <v>0</v>
      </c>
      <c r="Q420" s="209">
        <f>IF(P420=1,HLOOKUP(C420,'計算書（第7回）'!$C$123:$U$124,2,TRUE),0)</f>
        <v>0</v>
      </c>
      <c r="R420" s="212"/>
      <c r="S420" s="211">
        <f>COUNTIF($AB$13:$AB$19,"&lt;=2032/1/1")</f>
        <v>2</v>
      </c>
      <c r="T420" s="178">
        <f t="shared" si="51"/>
        <v>44743</v>
      </c>
      <c r="U420" s="181">
        <f t="shared" si="48"/>
        <v>0</v>
      </c>
      <c r="V420" s="182">
        <f t="shared" si="54"/>
        <v>0</v>
      </c>
      <c r="W420" s="245">
        <f t="shared" si="52"/>
        <v>0</v>
      </c>
      <c r="X420" s="182"/>
    </row>
    <row r="421" spans="2:24">
      <c r="B421" s="214">
        <f t="shared" si="50"/>
        <v>53359</v>
      </c>
      <c r="C421" s="198">
        <f t="shared" si="47"/>
        <v>53328</v>
      </c>
      <c r="D421" s="209">
        <f>IF(B421&lt;'信用保険料計算書（上限2000万）'!$E$15,0,IF(B421&gt;'信用保険料計算書（上限2000万）'!$E$16,0,1))</f>
        <v>0</v>
      </c>
      <c r="E421" s="209">
        <f>IF(D421=1,HLOOKUP(C421,'計算書（第1回）'!$C$123:$U$124,2,TRUE),0)</f>
        <v>0</v>
      </c>
      <c r="F421" s="209">
        <f>IF('信用保険料計算書（上限2000万）'!$G$15="",0,IF($B421&lt;'信用保険料計算書（上限2000万）'!$G$15,0,IF($B421&gt;'信用保険料計算書（上限2000万）'!$G$16,0,1)))</f>
        <v>0</v>
      </c>
      <c r="G421" s="209">
        <f>IF(F421=1,HLOOKUP(C421,'計算書（第2回）'!$C$123:$U$124,2,TRUE),0)</f>
        <v>0</v>
      </c>
      <c r="H421" s="209">
        <f>IF('信用保険料計算書（上限2000万）'!$I$15="",0,IF($B421&lt;'信用保険料計算書（上限2000万）'!$I$15,0,IF($B421&gt;'信用保険料計算書（上限2000万）'!$I$16,0,1)))</f>
        <v>0</v>
      </c>
      <c r="I421" s="209">
        <f>IF(H421=1,HLOOKUP(C421,'計算書（第3回）'!$C$123:$U$124,2,TRUE),0)</f>
        <v>0</v>
      </c>
      <c r="J421" s="209">
        <f>IF('信用保険料計算書（上限2000万）'!$K$15="",0,IF($B421&lt;'信用保険料計算書（上限2000万）'!$K$15,0,IF($B421&gt;'信用保険料計算書（上限2000万）'!$K$16,0,1)))</f>
        <v>0</v>
      </c>
      <c r="K421" s="209">
        <f>IF(J421=1,HLOOKUP(C421,'計算書（第4回）'!$C$123:$U$124,2,TRUE),0)</f>
        <v>0</v>
      </c>
      <c r="L421" s="209">
        <f>IF('信用保険料計算書（上限2000万）'!$M$15="",0,IF($B421&lt;'信用保険料計算書（上限2000万）'!$M$15,0,IF($B421&gt;'信用保険料計算書（上限2000万）'!$M$16,0,1)))</f>
        <v>0</v>
      </c>
      <c r="M421" s="209">
        <f>IF(L421=1,HLOOKUP(C421,'計算書（第5回）'!$C$123:$U$124,2,TRUE),0)</f>
        <v>0</v>
      </c>
      <c r="N421" s="209">
        <f>IF('信用保険料計算書（上限2000万）'!$O$15="",0,IF($B421&lt;'信用保険料計算書（上限2000万）'!$O$15,0,IF($B421&gt;'信用保険料計算書（上限2000万）'!$O$16,0,1)))</f>
        <v>0</v>
      </c>
      <c r="O421" s="209">
        <f>IF(N421=1,HLOOKUP(C421,'計算書（第6回）'!$C$123:$U$124,2,TRUE),0)</f>
        <v>0</v>
      </c>
      <c r="P421" s="209">
        <f>IF('信用保険料計算書（上限2000万）'!$Q$15="",0,IF($B421&lt;'信用保険料計算書（上限2000万）'!$Q$15,0,IF($B421&gt;'信用保険料計算書（上限2000万）'!$Q$16,0,1)))</f>
        <v>0</v>
      </c>
      <c r="Q421" s="209">
        <f>IF(P421=1,HLOOKUP(C421,'計算書（第7回）'!$C$123:$U$124,2,TRUE),0)</f>
        <v>0</v>
      </c>
      <c r="R421" s="212"/>
      <c r="S421" s="211">
        <f>COUNTIF($AB$13:$AB$19,"&lt;=2032/2/1")</f>
        <v>2</v>
      </c>
      <c r="T421" s="178">
        <f t="shared" si="51"/>
        <v>44743</v>
      </c>
      <c r="U421" s="181">
        <f t="shared" si="48"/>
        <v>0</v>
      </c>
      <c r="V421" s="182">
        <f t="shared" si="54"/>
        <v>0</v>
      </c>
      <c r="W421" s="245">
        <f t="shared" si="52"/>
        <v>0</v>
      </c>
      <c r="X421" s="182"/>
    </row>
    <row r="422" spans="2:24">
      <c r="B422" s="214">
        <f t="shared" si="50"/>
        <v>53387</v>
      </c>
      <c r="C422" s="198">
        <f t="shared" si="47"/>
        <v>53359</v>
      </c>
      <c r="D422" s="209">
        <f>IF(B422&lt;'信用保険料計算書（上限2000万）'!$E$15,0,IF(B422&gt;'信用保険料計算書（上限2000万）'!$E$16,0,1))</f>
        <v>0</v>
      </c>
      <c r="E422" s="209">
        <f>IF(D422=1,HLOOKUP(C422,'計算書（第1回）'!$C$123:$U$124,2,TRUE),0)</f>
        <v>0</v>
      </c>
      <c r="F422" s="209">
        <f>IF('信用保険料計算書（上限2000万）'!$G$15="",0,IF($B422&lt;'信用保険料計算書（上限2000万）'!$G$15,0,IF($B422&gt;'信用保険料計算書（上限2000万）'!$G$16,0,1)))</f>
        <v>0</v>
      </c>
      <c r="G422" s="209">
        <f>IF(F422=1,HLOOKUP(C422,'計算書（第2回）'!$C$123:$U$124,2,TRUE),0)</f>
        <v>0</v>
      </c>
      <c r="H422" s="209">
        <f>IF('信用保険料計算書（上限2000万）'!$I$15="",0,IF($B422&lt;'信用保険料計算書（上限2000万）'!$I$15,0,IF($B422&gt;'信用保険料計算書（上限2000万）'!$I$16,0,1)))</f>
        <v>0</v>
      </c>
      <c r="I422" s="209">
        <f>IF(H422=1,HLOOKUP(C422,'計算書（第3回）'!$C$123:$U$124,2,TRUE),0)</f>
        <v>0</v>
      </c>
      <c r="J422" s="209">
        <f>IF('信用保険料計算書（上限2000万）'!$K$15="",0,IF($B422&lt;'信用保険料計算書（上限2000万）'!$K$15,0,IF($B422&gt;'信用保険料計算書（上限2000万）'!$K$16,0,1)))</f>
        <v>0</v>
      </c>
      <c r="K422" s="209">
        <f>IF(J422=1,HLOOKUP(C422,'計算書（第4回）'!$C$123:$U$124,2,TRUE),0)</f>
        <v>0</v>
      </c>
      <c r="L422" s="209">
        <f>IF('信用保険料計算書（上限2000万）'!$M$15="",0,IF($B422&lt;'信用保険料計算書（上限2000万）'!$M$15,0,IF($B422&gt;'信用保険料計算書（上限2000万）'!$M$16,0,1)))</f>
        <v>0</v>
      </c>
      <c r="M422" s="209">
        <f>IF(L422=1,HLOOKUP(C422,'計算書（第5回）'!$C$123:$U$124,2,TRUE),0)</f>
        <v>0</v>
      </c>
      <c r="N422" s="209">
        <f>IF('信用保険料計算書（上限2000万）'!$O$15="",0,IF($B422&lt;'信用保険料計算書（上限2000万）'!$O$15,0,IF($B422&gt;'信用保険料計算書（上限2000万）'!$O$16,0,1)))</f>
        <v>0</v>
      </c>
      <c r="O422" s="209">
        <f>IF(N422=1,HLOOKUP(C422,'計算書（第6回）'!$C$123:$U$124,2,TRUE),0)</f>
        <v>0</v>
      </c>
      <c r="P422" s="209">
        <f>IF('信用保険料計算書（上限2000万）'!$Q$15="",0,IF($B422&lt;'信用保険料計算書（上限2000万）'!$Q$15,0,IF($B422&gt;'信用保険料計算書（上限2000万）'!$Q$16,0,1)))</f>
        <v>0</v>
      </c>
      <c r="Q422" s="209">
        <f>IF(P422=1,HLOOKUP(C422,'計算書（第7回）'!$C$123:$U$124,2,TRUE),0)</f>
        <v>0</v>
      </c>
      <c r="R422" s="212"/>
      <c r="S422" s="211">
        <f>COUNTIF($AB$13:$AB$19,"&lt;=2032/3/1")</f>
        <v>2</v>
      </c>
      <c r="T422" s="178">
        <f t="shared" si="51"/>
        <v>44743</v>
      </c>
      <c r="U422" s="181">
        <f t="shared" si="48"/>
        <v>0</v>
      </c>
      <c r="V422" s="182">
        <f t="shared" si="54"/>
        <v>0</v>
      </c>
      <c r="W422" s="245">
        <f t="shared" si="52"/>
        <v>0</v>
      </c>
      <c r="X422" s="183">
        <f>INT(SUM(W417:W422))</f>
        <v>0</v>
      </c>
    </row>
    <row r="423" spans="2:24">
      <c r="B423" s="214">
        <f t="shared" si="50"/>
        <v>53418</v>
      </c>
      <c r="C423" s="198">
        <f t="shared" si="47"/>
        <v>53387</v>
      </c>
      <c r="D423" s="209">
        <f>IF(B423&lt;'信用保険料計算書（上限2000万）'!$E$15,0,IF(B423&gt;'信用保険料計算書（上限2000万）'!$E$16,0,1))</f>
        <v>0</v>
      </c>
      <c r="E423" s="209">
        <f>IF(D423=1,HLOOKUP(C423,'計算書（第1回）'!$C$123:$U$124,2,TRUE),0)</f>
        <v>0</v>
      </c>
      <c r="F423" s="209">
        <f>IF('信用保険料計算書（上限2000万）'!$G$15="",0,IF($B423&lt;'信用保険料計算書（上限2000万）'!$G$15,0,IF($B423&gt;'信用保険料計算書（上限2000万）'!$G$16,0,1)))</f>
        <v>0</v>
      </c>
      <c r="G423" s="209">
        <f>IF(F423=1,HLOOKUP(C423,'計算書（第2回）'!$C$123:$U$124,2,TRUE),0)</f>
        <v>0</v>
      </c>
      <c r="H423" s="209">
        <f>IF('信用保険料計算書（上限2000万）'!$I$15="",0,IF($B423&lt;'信用保険料計算書（上限2000万）'!$I$15,0,IF($B423&gt;'信用保険料計算書（上限2000万）'!$I$16,0,1)))</f>
        <v>0</v>
      </c>
      <c r="I423" s="209">
        <f>IF(H423=1,HLOOKUP(C423,'計算書（第3回）'!$C$123:$U$124,2,TRUE),0)</f>
        <v>0</v>
      </c>
      <c r="J423" s="209">
        <f>IF('信用保険料計算書（上限2000万）'!$K$15="",0,IF($B423&lt;'信用保険料計算書（上限2000万）'!$K$15,0,IF($B423&gt;'信用保険料計算書（上限2000万）'!$K$16,0,1)))</f>
        <v>0</v>
      </c>
      <c r="K423" s="209">
        <f>IF(J423=1,HLOOKUP(C423,'計算書（第4回）'!$C$123:$U$124,2,TRUE),0)</f>
        <v>0</v>
      </c>
      <c r="L423" s="209">
        <f>IF('信用保険料計算書（上限2000万）'!$M$15="",0,IF($B423&lt;'信用保険料計算書（上限2000万）'!$M$15,0,IF($B423&gt;'信用保険料計算書（上限2000万）'!$M$16,0,1)))</f>
        <v>0</v>
      </c>
      <c r="M423" s="209">
        <f>IF(L423=1,HLOOKUP(C423,'計算書（第5回）'!$C$123:$U$124,2,TRUE),0)</f>
        <v>0</v>
      </c>
      <c r="N423" s="209">
        <f>IF('信用保険料計算書（上限2000万）'!$O$15="",0,IF($B423&lt;'信用保険料計算書（上限2000万）'!$O$15,0,IF($B423&gt;'信用保険料計算書（上限2000万）'!$O$16,0,1)))</f>
        <v>0</v>
      </c>
      <c r="O423" s="209">
        <f>IF(N423=1,HLOOKUP(C423,'計算書（第6回）'!$C$123:$U$124,2,TRUE),0)</f>
        <v>0</v>
      </c>
      <c r="P423" s="209">
        <f>IF('信用保険料計算書（上限2000万）'!$Q$15="",0,IF($B423&lt;'信用保険料計算書（上限2000万）'!$Q$15,0,IF($B423&gt;'信用保険料計算書（上限2000万）'!$Q$16,0,1)))</f>
        <v>0</v>
      </c>
      <c r="Q423" s="209">
        <f>IF(P423=1,HLOOKUP(C423,'計算書（第7回）'!$C$123:$U$124,2,TRUE),0)</f>
        <v>0</v>
      </c>
      <c r="R423" s="213"/>
      <c r="S423" s="211">
        <f>COUNTIF($AB$13:$AB$19,"&lt;=2031/4/1")</f>
        <v>2</v>
      </c>
      <c r="T423" s="178">
        <f t="shared" si="51"/>
        <v>44743</v>
      </c>
      <c r="U423" s="181">
        <f t="shared" si="48"/>
        <v>0</v>
      </c>
      <c r="V423" s="182">
        <f t="shared" ref="V423:V434" si="55">IF(U423=0,0,IF(U423&gt;VLOOKUP(T423,$AA$5:$AB$8,2,TRUE),VLOOKUP(T423,$AA$5:$AB$8,2,TRUE),U423))</f>
        <v>0</v>
      </c>
      <c r="W423" s="245">
        <f t="shared" si="52"/>
        <v>0</v>
      </c>
      <c r="X423" s="182"/>
    </row>
    <row r="424" spans="2:24">
      <c r="B424" s="214">
        <f t="shared" si="50"/>
        <v>53448</v>
      </c>
      <c r="C424" s="198">
        <f t="shared" si="47"/>
        <v>53418</v>
      </c>
      <c r="D424" s="209">
        <f>IF(B424&lt;'信用保険料計算書（上限2000万）'!$E$15,0,IF(B424&gt;'信用保険料計算書（上限2000万）'!$E$16,0,1))</f>
        <v>0</v>
      </c>
      <c r="E424" s="209">
        <f>IF(D424=1,HLOOKUP(C424,'計算書（第1回）'!$C$123:$U$124,2,TRUE),0)</f>
        <v>0</v>
      </c>
      <c r="F424" s="209">
        <f>IF('信用保険料計算書（上限2000万）'!$G$15="",0,IF($B424&lt;'信用保険料計算書（上限2000万）'!$G$15,0,IF($B424&gt;'信用保険料計算書（上限2000万）'!$G$16,0,1)))</f>
        <v>0</v>
      </c>
      <c r="G424" s="209">
        <f>IF(F424=1,HLOOKUP(C424,'計算書（第2回）'!$C$123:$U$124,2,TRUE),0)</f>
        <v>0</v>
      </c>
      <c r="H424" s="209">
        <f>IF('信用保険料計算書（上限2000万）'!$I$15="",0,IF($B424&lt;'信用保険料計算書（上限2000万）'!$I$15,0,IF($B424&gt;'信用保険料計算書（上限2000万）'!$I$16,0,1)))</f>
        <v>0</v>
      </c>
      <c r="I424" s="209">
        <f>IF(H424=1,HLOOKUP(C424,'計算書（第3回）'!$C$123:$U$124,2,TRUE),0)</f>
        <v>0</v>
      </c>
      <c r="J424" s="209">
        <f>IF('信用保険料計算書（上限2000万）'!$K$15="",0,IF($B424&lt;'信用保険料計算書（上限2000万）'!$K$15,0,IF($B424&gt;'信用保険料計算書（上限2000万）'!$K$16,0,1)))</f>
        <v>0</v>
      </c>
      <c r="K424" s="209">
        <f>IF(J424=1,HLOOKUP(C424,'計算書（第4回）'!$C$123:$U$124,2,TRUE),0)</f>
        <v>0</v>
      </c>
      <c r="L424" s="209">
        <f>IF('信用保険料計算書（上限2000万）'!$M$15="",0,IF($B424&lt;'信用保険料計算書（上限2000万）'!$M$15,0,IF($B424&gt;'信用保険料計算書（上限2000万）'!$M$16,0,1)))</f>
        <v>0</v>
      </c>
      <c r="M424" s="209">
        <f>IF(L424=1,HLOOKUP(C424,'計算書（第5回）'!$C$123:$U$124,2,TRUE),0)</f>
        <v>0</v>
      </c>
      <c r="N424" s="209">
        <f>IF('信用保険料計算書（上限2000万）'!$O$15="",0,IF($B424&lt;'信用保険料計算書（上限2000万）'!$O$15,0,IF($B424&gt;'信用保険料計算書（上限2000万）'!$O$16,0,1)))</f>
        <v>0</v>
      </c>
      <c r="O424" s="209">
        <f>IF(N424=1,HLOOKUP(C424,'計算書（第6回）'!$C$123:$U$124,2,TRUE),0)</f>
        <v>0</v>
      </c>
      <c r="P424" s="209">
        <f>IF('信用保険料計算書（上限2000万）'!$Q$15="",0,IF($B424&lt;'信用保険料計算書（上限2000万）'!$Q$15,0,IF($B424&gt;'信用保険料計算書（上限2000万）'!$Q$16,0,1)))</f>
        <v>0</v>
      </c>
      <c r="Q424" s="209">
        <f>IF(P424=1,HLOOKUP(C424,'計算書（第7回）'!$C$123:$U$124,2,TRUE),0)</f>
        <v>0</v>
      </c>
      <c r="R424" s="213"/>
      <c r="S424" s="211">
        <f>COUNTIF($AB$13:$AB$19,"&lt;=2031/5/1")</f>
        <v>2</v>
      </c>
      <c r="T424" s="178">
        <f t="shared" si="51"/>
        <v>44743</v>
      </c>
      <c r="U424" s="181">
        <f t="shared" si="48"/>
        <v>0</v>
      </c>
      <c r="V424" s="182">
        <f t="shared" si="55"/>
        <v>0</v>
      </c>
      <c r="W424" s="245">
        <f t="shared" si="52"/>
        <v>0</v>
      </c>
      <c r="X424" s="182"/>
    </row>
    <row r="425" spans="2:24">
      <c r="B425" s="214">
        <f t="shared" si="50"/>
        <v>53479</v>
      </c>
      <c r="C425" s="198">
        <f t="shared" si="47"/>
        <v>53448</v>
      </c>
      <c r="D425" s="209">
        <f>IF(B425&lt;'信用保険料計算書（上限2000万）'!$E$15,0,IF(B425&gt;'信用保険料計算書（上限2000万）'!$E$16,0,1))</f>
        <v>0</v>
      </c>
      <c r="E425" s="209">
        <f>IF(D425=1,HLOOKUP(C425,'計算書（第1回）'!$C$123:$U$124,2,TRUE),0)</f>
        <v>0</v>
      </c>
      <c r="F425" s="209">
        <f>IF('信用保険料計算書（上限2000万）'!$G$15="",0,IF($B425&lt;'信用保険料計算書（上限2000万）'!$G$15,0,IF($B425&gt;'信用保険料計算書（上限2000万）'!$G$16,0,1)))</f>
        <v>0</v>
      </c>
      <c r="G425" s="209">
        <f>IF(F425=1,HLOOKUP(C425,'計算書（第2回）'!$C$123:$U$124,2,TRUE),0)</f>
        <v>0</v>
      </c>
      <c r="H425" s="209">
        <f>IF('信用保険料計算書（上限2000万）'!$I$15="",0,IF($B425&lt;'信用保険料計算書（上限2000万）'!$I$15,0,IF($B425&gt;'信用保険料計算書（上限2000万）'!$I$16,0,1)))</f>
        <v>0</v>
      </c>
      <c r="I425" s="209">
        <f>IF(H425=1,HLOOKUP(C425,'計算書（第3回）'!$C$123:$U$124,2,TRUE),0)</f>
        <v>0</v>
      </c>
      <c r="J425" s="209">
        <f>IF('信用保険料計算書（上限2000万）'!$K$15="",0,IF($B425&lt;'信用保険料計算書（上限2000万）'!$K$15,0,IF($B425&gt;'信用保険料計算書（上限2000万）'!$K$16,0,1)))</f>
        <v>0</v>
      </c>
      <c r="K425" s="209">
        <f>IF(J425=1,HLOOKUP(C425,'計算書（第4回）'!$C$123:$U$124,2,TRUE),0)</f>
        <v>0</v>
      </c>
      <c r="L425" s="209">
        <f>IF('信用保険料計算書（上限2000万）'!$M$15="",0,IF($B425&lt;'信用保険料計算書（上限2000万）'!$M$15,0,IF($B425&gt;'信用保険料計算書（上限2000万）'!$M$16,0,1)))</f>
        <v>0</v>
      </c>
      <c r="M425" s="209">
        <f>IF(L425=1,HLOOKUP(C425,'計算書（第5回）'!$C$123:$U$124,2,TRUE),0)</f>
        <v>0</v>
      </c>
      <c r="N425" s="209">
        <f>IF('信用保険料計算書（上限2000万）'!$O$15="",0,IF($B425&lt;'信用保険料計算書（上限2000万）'!$O$15,0,IF($B425&gt;'信用保険料計算書（上限2000万）'!$O$16,0,1)))</f>
        <v>0</v>
      </c>
      <c r="O425" s="209">
        <f>IF(N425=1,HLOOKUP(C425,'計算書（第6回）'!$C$123:$U$124,2,TRUE),0)</f>
        <v>0</v>
      </c>
      <c r="P425" s="209">
        <f>IF('信用保険料計算書（上限2000万）'!$Q$15="",0,IF($B425&lt;'信用保険料計算書（上限2000万）'!$Q$15,0,IF($B425&gt;'信用保険料計算書（上限2000万）'!$Q$16,0,1)))</f>
        <v>0</v>
      </c>
      <c r="Q425" s="209">
        <f>IF(P425=1,HLOOKUP(C425,'計算書（第7回）'!$C$123:$U$124,2,TRUE),0)</f>
        <v>0</v>
      </c>
      <c r="R425" s="213"/>
      <c r="S425" s="211">
        <f>COUNTIF($AB$13:$AB$19,"&lt;=2031/6/1")</f>
        <v>2</v>
      </c>
      <c r="T425" s="178">
        <f t="shared" si="51"/>
        <v>44743</v>
      </c>
      <c r="U425" s="181">
        <f t="shared" si="48"/>
        <v>0</v>
      </c>
      <c r="V425" s="182">
        <f t="shared" si="55"/>
        <v>0</v>
      </c>
      <c r="W425" s="245">
        <f t="shared" si="52"/>
        <v>0</v>
      </c>
      <c r="X425" s="182"/>
    </row>
    <row r="426" spans="2:24">
      <c r="B426" s="214">
        <f t="shared" si="50"/>
        <v>53509</v>
      </c>
      <c r="C426" s="198">
        <f t="shared" si="47"/>
        <v>53479</v>
      </c>
      <c r="D426" s="209">
        <f>IF(B426&lt;'信用保険料計算書（上限2000万）'!$E$15,0,IF(B426&gt;'信用保険料計算書（上限2000万）'!$E$16,0,1))</f>
        <v>0</v>
      </c>
      <c r="E426" s="209">
        <f>IF(D426=1,HLOOKUP(C426,'計算書（第1回）'!$C$123:$U$124,2,TRUE),0)</f>
        <v>0</v>
      </c>
      <c r="F426" s="209">
        <f>IF('信用保険料計算書（上限2000万）'!$G$15="",0,IF($B426&lt;'信用保険料計算書（上限2000万）'!$G$15,0,IF($B426&gt;'信用保険料計算書（上限2000万）'!$G$16,0,1)))</f>
        <v>0</v>
      </c>
      <c r="G426" s="209">
        <f>IF(F426=1,HLOOKUP(C426,'計算書（第2回）'!$C$123:$U$124,2,TRUE),0)</f>
        <v>0</v>
      </c>
      <c r="H426" s="209">
        <f>IF('信用保険料計算書（上限2000万）'!$I$15="",0,IF($B426&lt;'信用保険料計算書（上限2000万）'!$I$15,0,IF($B426&gt;'信用保険料計算書（上限2000万）'!$I$16,0,1)))</f>
        <v>0</v>
      </c>
      <c r="I426" s="209">
        <f>IF(H426=1,HLOOKUP(C426,'計算書（第3回）'!$C$123:$U$124,2,TRUE),0)</f>
        <v>0</v>
      </c>
      <c r="J426" s="209">
        <f>IF('信用保険料計算書（上限2000万）'!$K$15="",0,IF($B426&lt;'信用保険料計算書（上限2000万）'!$K$15,0,IF($B426&gt;'信用保険料計算書（上限2000万）'!$K$16,0,1)))</f>
        <v>0</v>
      </c>
      <c r="K426" s="209">
        <f>IF(J426=1,HLOOKUP(C426,'計算書（第4回）'!$C$123:$U$124,2,TRUE),0)</f>
        <v>0</v>
      </c>
      <c r="L426" s="209">
        <f>IF('信用保険料計算書（上限2000万）'!$M$15="",0,IF($B426&lt;'信用保険料計算書（上限2000万）'!$M$15,0,IF($B426&gt;'信用保険料計算書（上限2000万）'!$M$16,0,1)))</f>
        <v>0</v>
      </c>
      <c r="M426" s="209">
        <f>IF(L426=1,HLOOKUP(C426,'計算書（第5回）'!$C$123:$U$124,2,TRUE),0)</f>
        <v>0</v>
      </c>
      <c r="N426" s="209">
        <f>IF('信用保険料計算書（上限2000万）'!$O$15="",0,IF($B426&lt;'信用保険料計算書（上限2000万）'!$O$15,0,IF($B426&gt;'信用保険料計算書（上限2000万）'!$O$16,0,1)))</f>
        <v>0</v>
      </c>
      <c r="O426" s="209">
        <f>IF(N426=1,HLOOKUP(C426,'計算書（第6回）'!$C$123:$U$124,2,TRUE),0)</f>
        <v>0</v>
      </c>
      <c r="P426" s="209">
        <f>IF('信用保険料計算書（上限2000万）'!$Q$15="",0,IF($B426&lt;'信用保険料計算書（上限2000万）'!$Q$15,0,IF($B426&gt;'信用保険料計算書（上限2000万）'!$Q$16,0,1)))</f>
        <v>0</v>
      </c>
      <c r="Q426" s="209">
        <f>IF(P426=1,HLOOKUP(C426,'計算書（第7回）'!$C$123:$U$124,2,TRUE),0)</f>
        <v>0</v>
      </c>
      <c r="R426" s="213"/>
      <c r="S426" s="211">
        <f>COUNTIF($AB$13:$AB$19,"&lt;=2031/7/1")</f>
        <v>2</v>
      </c>
      <c r="T426" s="178">
        <f t="shared" si="51"/>
        <v>44743</v>
      </c>
      <c r="U426" s="181">
        <f t="shared" si="48"/>
        <v>0</v>
      </c>
      <c r="V426" s="182">
        <f t="shared" si="55"/>
        <v>0</v>
      </c>
      <c r="W426" s="245">
        <f t="shared" si="52"/>
        <v>0</v>
      </c>
      <c r="X426" s="182"/>
    </row>
    <row r="427" spans="2:24">
      <c r="B427" s="214">
        <f t="shared" si="50"/>
        <v>53540</v>
      </c>
      <c r="C427" s="198">
        <f t="shared" si="47"/>
        <v>53509</v>
      </c>
      <c r="D427" s="209">
        <f>IF(B427&lt;'信用保険料計算書（上限2000万）'!$E$15,0,IF(B427&gt;'信用保険料計算書（上限2000万）'!$E$16,0,1))</f>
        <v>0</v>
      </c>
      <c r="E427" s="209">
        <f>IF(D427=1,HLOOKUP(C427,'計算書（第1回）'!$C$123:$U$124,2,TRUE),0)</f>
        <v>0</v>
      </c>
      <c r="F427" s="209">
        <f>IF('信用保険料計算書（上限2000万）'!$G$15="",0,IF($B427&lt;'信用保険料計算書（上限2000万）'!$G$15,0,IF($B427&gt;'信用保険料計算書（上限2000万）'!$G$16,0,1)))</f>
        <v>0</v>
      </c>
      <c r="G427" s="209">
        <f>IF(F427=1,HLOOKUP(C427,'計算書（第2回）'!$C$123:$U$124,2,TRUE),0)</f>
        <v>0</v>
      </c>
      <c r="H427" s="209">
        <f>IF('信用保険料計算書（上限2000万）'!$I$15="",0,IF($B427&lt;'信用保険料計算書（上限2000万）'!$I$15,0,IF($B427&gt;'信用保険料計算書（上限2000万）'!$I$16,0,1)))</f>
        <v>0</v>
      </c>
      <c r="I427" s="209">
        <f>IF(H427=1,HLOOKUP(C427,'計算書（第3回）'!$C$123:$U$124,2,TRUE),0)</f>
        <v>0</v>
      </c>
      <c r="J427" s="209">
        <f>IF('信用保険料計算書（上限2000万）'!$K$15="",0,IF($B427&lt;'信用保険料計算書（上限2000万）'!$K$15,0,IF($B427&gt;'信用保険料計算書（上限2000万）'!$K$16,0,1)))</f>
        <v>0</v>
      </c>
      <c r="K427" s="209">
        <f>IF(J427=1,HLOOKUP(C427,'計算書（第4回）'!$C$123:$U$124,2,TRUE),0)</f>
        <v>0</v>
      </c>
      <c r="L427" s="209">
        <f>IF('信用保険料計算書（上限2000万）'!$M$15="",0,IF($B427&lt;'信用保険料計算書（上限2000万）'!$M$15,0,IF($B427&gt;'信用保険料計算書（上限2000万）'!$M$16,0,1)))</f>
        <v>0</v>
      </c>
      <c r="M427" s="209">
        <f>IF(L427=1,HLOOKUP(C427,'計算書（第5回）'!$C$123:$U$124,2,TRUE),0)</f>
        <v>0</v>
      </c>
      <c r="N427" s="209">
        <f>IF('信用保険料計算書（上限2000万）'!$O$15="",0,IF($B427&lt;'信用保険料計算書（上限2000万）'!$O$15,0,IF($B427&gt;'信用保険料計算書（上限2000万）'!$O$16,0,1)))</f>
        <v>0</v>
      </c>
      <c r="O427" s="209">
        <f>IF(N427=1,HLOOKUP(C427,'計算書（第6回）'!$C$123:$U$124,2,TRUE),0)</f>
        <v>0</v>
      </c>
      <c r="P427" s="209">
        <f>IF('信用保険料計算書（上限2000万）'!$Q$15="",0,IF($B427&lt;'信用保険料計算書（上限2000万）'!$Q$15,0,IF($B427&gt;'信用保険料計算書（上限2000万）'!$Q$16,0,1)))</f>
        <v>0</v>
      </c>
      <c r="Q427" s="209">
        <f>IF(P427=1,HLOOKUP(C427,'計算書（第7回）'!$C$123:$U$124,2,TRUE),0)</f>
        <v>0</v>
      </c>
      <c r="R427" s="213"/>
      <c r="S427" s="211">
        <f>COUNTIF($AB$13:$AB$19,"&lt;=2031/8/1")</f>
        <v>2</v>
      </c>
      <c r="T427" s="178">
        <f t="shared" si="51"/>
        <v>44743</v>
      </c>
      <c r="U427" s="181">
        <f t="shared" si="48"/>
        <v>0</v>
      </c>
      <c r="V427" s="182">
        <f t="shared" si="55"/>
        <v>0</v>
      </c>
      <c r="W427" s="245">
        <f t="shared" si="52"/>
        <v>0</v>
      </c>
      <c r="X427" s="182"/>
    </row>
    <row r="428" spans="2:24">
      <c r="B428" s="214">
        <f t="shared" si="50"/>
        <v>53571</v>
      </c>
      <c r="C428" s="198">
        <f t="shared" si="47"/>
        <v>53540</v>
      </c>
      <c r="D428" s="209">
        <f>IF(B428&lt;'信用保険料計算書（上限2000万）'!$E$15,0,IF(B428&gt;'信用保険料計算書（上限2000万）'!$E$16,0,1))</f>
        <v>0</v>
      </c>
      <c r="E428" s="209">
        <f>IF(D428=1,HLOOKUP(C428,'計算書（第1回）'!$C$123:$U$124,2,TRUE),0)</f>
        <v>0</v>
      </c>
      <c r="F428" s="209">
        <f>IF('信用保険料計算書（上限2000万）'!$G$15="",0,IF($B428&lt;'信用保険料計算書（上限2000万）'!$G$15,0,IF($B428&gt;'信用保険料計算書（上限2000万）'!$G$16,0,1)))</f>
        <v>0</v>
      </c>
      <c r="G428" s="209">
        <f>IF(F428=1,HLOOKUP(C428,'計算書（第2回）'!$C$123:$U$124,2,TRUE),0)</f>
        <v>0</v>
      </c>
      <c r="H428" s="209">
        <f>IF('信用保険料計算書（上限2000万）'!$I$15="",0,IF($B428&lt;'信用保険料計算書（上限2000万）'!$I$15,0,IF($B428&gt;'信用保険料計算書（上限2000万）'!$I$16,0,1)))</f>
        <v>0</v>
      </c>
      <c r="I428" s="209">
        <f>IF(H428=1,HLOOKUP(C428,'計算書（第3回）'!$C$123:$U$124,2,TRUE),0)</f>
        <v>0</v>
      </c>
      <c r="J428" s="209">
        <f>IF('信用保険料計算書（上限2000万）'!$K$15="",0,IF($B428&lt;'信用保険料計算書（上限2000万）'!$K$15,0,IF($B428&gt;'信用保険料計算書（上限2000万）'!$K$16,0,1)))</f>
        <v>0</v>
      </c>
      <c r="K428" s="209">
        <f>IF(J428=1,HLOOKUP(C428,'計算書（第4回）'!$C$123:$U$124,2,TRUE),0)</f>
        <v>0</v>
      </c>
      <c r="L428" s="209">
        <f>IF('信用保険料計算書（上限2000万）'!$M$15="",0,IF($B428&lt;'信用保険料計算書（上限2000万）'!$M$15,0,IF($B428&gt;'信用保険料計算書（上限2000万）'!$M$16,0,1)))</f>
        <v>0</v>
      </c>
      <c r="M428" s="209">
        <f>IF(L428=1,HLOOKUP(C428,'計算書（第5回）'!$C$123:$U$124,2,TRUE),0)</f>
        <v>0</v>
      </c>
      <c r="N428" s="209">
        <f>IF('信用保険料計算書（上限2000万）'!$O$15="",0,IF($B428&lt;'信用保険料計算書（上限2000万）'!$O$15,0,IF($B428&gt;'信用保険料計算書（上限2000万）'!$O$16,0,1)))</f>
        <v>0</v>
      </c>
      <c r="O428" s="209">
        <f>IF(N428=1,HLOOKUP(C428,'計算書（第6回）'!$C$123:$U$124,2,TRUE),0)</f>
        <v>0</v>
      </c>
      <c r="P428" s="209">
        <f>IF('信用保険料計算書（上限2000万）'!$Q$15="",0,IF($B428&lt;'信用保険料計算書（上限2000万）'!$Q$15,0,IF($B428&gt;'信用保険料計算書（上限2000万）'!$Q$16,0,1)))</f>
        <v>0</v>
      </c>
      <c r="Q428" s="209">
        <f>IF(P428=1,HLOOKUP(C428,'計算書（第7回）'!$C$123:$U$124,2,TRUE),0)</f>
        <v>0</v>
      </c>
      <c r="R428" s="213"/>
      <c r="S428" s="211">
        <f>COUNTIF($AB$13:$AB$19,"&lt;=2031/9/1")</f>
        <v>2</v>
      </c>
      <c r="T428" s="178">
        <f t="shared" si="51"/>
        <v>44743</v>
      </c>
      <c r="U428" s="181">
        <f t="shared" si="48"/>
        <v>0</v>
      </c>
      <c r="V428" s="182">
        <f t="shared" si="55"/>
        <v>0</v>
      </c>
      <c r="W428" s="245">
        <f t="shared" si="52"/>
        <v>0</v>
      </c>
      <c r="X428" s="183">
        <f>INT(SUM(W423:W428))</f>
        <v>0</v>
      </c>
    </row>
    <row r="429" spans="2:24">
      <c r="B429" s="214">
        <f t="shared" si="50"/>
        <v>53601</v>
      </c>
      <c r="C429" s="198">
        <f t="shared" si="47"/>
        <v>53571</v>
      </c>
      <c r="D429" s="209">
        <f>IF(B429&lt;'信用保険料計算書（上限2000万）'!$E$15,0,IF(B429&gt;'信用保険料計算書（上限2000万）'!$E$16,0,1))</f>
        <v>0</v>
      </c>
      <c r="E429" s="209">
        <f>IF(D429=1,HLOOKUP(C429,'計算書（第1回）'!$C$123:$U$124,2,TRUE),0)</f>
        <v>0</v>
      </c>
      <c r="F429" s="209">
        <f>IF('信用保険料計算書（上限2000万）'!$G$15="",0,IF($B429&lt;'信用保険料計算書（上限2000万）'!$G$15,0,IF($B429&gt;'信用保険料計算書（上限2000万）'!$G$16,0,1)))</f>
        <v>0</v>
      </c>
      <c r="G429" s="209">
        <f>IF(F429=1,HLOOKUP(C429,'計算書（第2回）'!$C$123:$U$124,2,TRUE),0)</f>
        <v>0</v>
      </c>
      <c r="H429" s="209">
        <f>IF('信用保険料計算書（上限2000万）'!$I$15="",0,IF($B429&lt;'信用保険料計算書（上限2000万）'!$I$15,0,IF($B429&gt;'信用保険料計算書（上限2000万）'!$I$16,0,1)))</f>
        <v>0</v>
      </c>
      <c r="I429" s="209">
        <f>IF(H429=1,HLOOKUP(C429,'計算書（第3回）'!$C$123:$U$124,2,TRUE),0)</f>
        <v>0</v>
      </c>
      <c r="J429" s="209">
        <f>IF('信用保険料計算書（上限2000万）'!$K$15="",0,IF($B429&lt;'信用保険料計算書（上限2000万）'!$K$15,0,IF($B429&gt;'信用保険料計算書（上限2000万）'!$K$16,0,1)))</f>
        <v>0</v>
      </c>
      <c r="K429" s="209">
        <f>IF(J429=1,HLOOKUP(C429,'計算書（第4回）'!$C$123:$U$124,2,TRUE),0)</f>
        <v>0</v>
      </c>
      <c r="L429" s="209">
        <f>IF('信用保険料計算書（上限2000万）'!$M$15="",0,IF($B429&lt;'信用保険料計算書（上限2000万）'!$M$15,0,IF($B429&gt;'信用保険料計算書（上限2000万）'!$M$16,0,1)))</f>
        <v>0</v>
      </c>
      <c r="M429" s="209">
        <f>IF(L429=1,HLOOKUP(C429,'計算書（第5回）'!$C$123:$U$124,2,TRUE),0)</f>
        <v>0</v>
      </c>
      <c r="N429" s="209">
        <f>IF('信用保険料計算書（上限2000万）'!$O$15="",0,IF($B429&lt;'信用保険料計算書（上限2000万）'!$O$15,0,IF($B429&gt;'信用保険料計算書（上限2000万）'!$O$16,0,1)))</f>
        <v>0</v>
      </c>
      <c r="O429" s="209">
        <f>IF(N429=1,HLOOKUP(C429,'計算書（第6回）'!$C$123:$U$124,2,TRUE),0)</f>
        <v>0</v>
      </c>
      <c r="P429" s="209">
        <f>IF('信用保険料計算書（上限2000万）'!$Q$15="",0,IF($B429&lt;'信用保険料計算書（上限2000万）'!$Q$15,0,IF($B429&gt;'信用保険料計算書（上限2000万）'!$Q$16,0,1)))</f>
        <v>0</v>
      </c>
      <c r="Q429" s="209">
        <f>IF(P429=1,HLOOKUP(C429,'計算書（第7回）'!$C$123:$U$124,2,TRUE),0)</f>
        <v>0</v>
      </c>
      <c r="R429" s="213"/>
      <c r="S429" s="211">
        <f>COUNTIF($AB$13:$AB$19,"&lt;=2031/10/1")</f>
        <v>2</v>
      </c>
      <c r="T429" s="178">
        <f t="shared" si="51"/>
        <v>44743</v>
      </c>
      <c r="U429" s="181">
        <f t="shared" si="48"/>
        <v>0</v>
      </c>
      <c r="V429" s="182">
        <f t="shared" si="55"/>
        <v>0</v>
      </c>
      <c r="W429" s="245">
        <f t="shared" si="52"/>
        <v>0</v>
      </c>
      <c r="X429" s="182"/>
    </row>
    <row r="430" spans="2:24">
      <c r="B430" s="214">
        <f t="shared" si="50"/>
        <v>53632</v>
      </c>
      <c r="C430" s="198">
        <f t="shared" si="47"/>
        <v>53601</v>
      </c>
      <c r="D430" s="209">
        <f>IF(B430&lt;'信用保険料計算書（上限2000万）'!$E$15,0,IF(B430&gt;'信用保険料計算書（上限2000万）'!$E$16,0,1))</f>
        <v>0</v>
      </c>
      <c r="E430" s="209">
        <f>IF(D430=1,HLOOKUP(C430,'計算書（第1回）'!$C$123:$U$124,2,TRUE),0)</f>
        <v>0</v>
      </c>
      <c r="F430" s="209">
        <f>IF('信用保険料計算書（上限2000万）'!$G$15="",0,IF($B430&lt;'信用保険料計算書（上限2000万）'!$G$15,0,IF($B430&gt;'信用保険料計算書（上限2000万）'!$G$16,0,1)))</f>
        <v>0</v>
      </c>
      <c r="G430" s="209">
        <f>IF(F430=1,HLOOKUP(C430,'計算書（第2回）'!$C$123:$U$124,2,TRUE),0)</f>
        <v>0</v>
      </c>
      <c r="H430" s="209">
        <f>IF('信用保険料計算書（上限2000万）'!$I$15="",0,IF($B430&lt;'信用保険料計算書（上限2000万）'!$I$15,0,IF($B430&gt;'信用保険料計算書（上限2000万）'!$I$16,0,1)))</f>
        <v>0</v>
      </c>
      <c r="I430" s="209">
        <f>IF(H430=1,HLOOKUP(C430,'計算書（第3回）'!$C$123:$U$124,2,TRUE),0)</f>
        <v>0</v>
      </c>
      <c r="J430" s="209">
        <f>IF('信用保険料計算書（上限2000万）'!$K$15="",0,IF($B430&lt;'信用保険料計算書（上限2000万）'!$K$15,0,IF($B430&gt;'信用保険料計算書（上限2000万）'!$K$16,0,1)))</f>
        <v>0</v>
      </c>
      <c r="K430" s="209">
        <f>IF(J430=1,HLOOKUP(C430,'計算書（第4回）'!$C$123:$U$124,2,TRUE),0)</f>
        <v>0</v>
      </c>
      <c r="L430" s="209">
        <f>IF('信用保険料計算書（上限2000万）'!$M$15="",0,IF($B430&lt;'信用保険料計算書（上限2000万）'!$M$15,0,IF($B430&gt;'信用保険料計算書（上限2000万）'!$M$16,0,1)))</f>
        <v>0</v>
      </c>
      <c r="M430" s="209">
        <f>IF(L430=1,HLOOKUP(C430,'計算書（第5回）'!$C$123:$U$124,2,TRUE),0)</f>
        <v>0</v>
      </c>
      <c r="N430" s="209">
        <f>IF('信用保険料計算書（上限2000万）'!$O$15="",0,IF($B430&lt;'信用保険料計算書（上限2000万）'!$O$15,0,IF($B430&gt;'信用保険料計算書（上限2000万）'!$O$16,0,1)))</f>
        <v>0</v>
      </c>
      <c r="O430" s="209">
        <f>IF(N430=1,HLOOKUP(C430,'計算書（第6回）'!$C$123:$U$124,2,TRUE),0)</f>
        <v>0</v>
      </c>
      <c r="P430" s="209">
        <f>IF('信用保険料計算書（上限2000万）'!$Q$15="",0,IF($B430&lt;'信用保険料計算書（上限2000万）'!$Q$15,0,IF($B430&gt;'信用保険料計算書（上限2000万）'!$Q$16,0,1)))</f>
        <v>0</v>
      </c>
      <c r="Q430" s="209">
        <f>IF(P430=1,HLOOKUP(C430,'計算書（第7回）'!$C$123:$U$124,2,TRUE),0)</f>
        <v>0</v>
      </c>
      <c r="R430" s="213"/>
      <c r="S430" s="211">
        <f>COUNTIF($AB$13:$AB$19,"&lt;=2031/11/1")</f>
        <v>2</v>
      </c>
      <c r="T430" s="178">
        <f t="shared" si="51"/>
        <v>44743</v>
      </c>
      <c r="U430" s="181">
        <f t="shared" si="48"/>
        <v>0</v>
      </c>
      <c r="V430" s="182">
        <f t="shared" si="55"/>
        <v>0</v>
      </c>
      <c r="W430" s="245">
        <f t="shared" si="52"/>
        <v>0</v>
      </c>
      <c r="X430" s="182"/>
    </row>
    <row r="431" spans="2:24">
      <c r="B431" s="214">
        <f t="shared" si="50"/>
        <v>53662</v>
      </c>
      <c r="C431" s="198">
        <f t="shared" si="47"/>
        <v>53632</v>
      </c>
      <c r="D431" s="209">
        <f>IF(B431&lt;'信用保険料計算書（上限2000万）'!$E$15,0,IF(B431&gt;'信用保険料計算書（上限2000万）'!$E$16,0,1))</f>
        <v>0</v>
      </c>
      <c r="E431" s="209">
        <f>IF(D431=1,HLOOKUP(C431,'計算書（第1回）'!$C$123:$U$124,2,TRUE),0)</f>
        <v>0</v>
      </c>
      <c r="F431" s="209">
        <f>IF('信用保険料計算書（上限2000万）'!$G$15="",0,IF($B431&lt;'信用保険料計算書（上限2000万）'!$G$15,0,IF($B431&gt;'信用保険料計算書（上限2000万）'!$G$16,0,1)))</f>
        <v>0</v>
      </c>
      <c r="G431" s="209">
        <f>IF(F431=1,HLOOKUP(C431,'計算書（第2回）'!$C$123:$U$124,2,TRUE),0)</f>
        <v>0</v>
      </c>
      <c r="H431" s="209">
        <f>IF('信用保険料計算書（上限2000万）'!$I$15="",0,IF($B431&lt;'信用保険料計算書（上限2000万）'!$I$15,0,IF($B431&gt;'信用保険料計算書（上限2000万）'!$I$16,0,1)))</f>
        <v>0</v>
      </c>
      <c r="I431" s="209">
        <f>IF(H431=1,HLOOKUP(C431,'計算書（第3回）'!$C$123:$U$124,2,TRUE),0)</f>
        <v>0</v>
      </c>
      <c r="J431" s="209">
        <f>IF('信用保険料計算書（上限2000万）'!$K$15="",0,IF($B431&lt;'信用保険料計算書（上限2000万）'!$K$15,0,IF($B431&gt;'信用保険料計算書（上限2000万）'!$K$16,0,1)))</f>
        <v>0</v>
      </c>
      <c r="K431" s="209">
        <f>IF(J431=1,HLOOKUP(C431,'計算書（第4回）'!$C$123:$U$124,2,TRUE),0)</f>
        <v>0</v>
      </c>
      <c r="L431" s="209">
        <f>IF('信用保険料計算書（上限2000万）'!$M$15="",0,IF($B431&lt;'信用保険料計算書（上限2000万）'!$M$15,0,IF($B431&gt;'信用保険料計算書（上限2000万）'!$M$16,0,1)))</f>
        <v>0</v>
      </c>
      <c r="M431" s="209">
        <f>IF(L431=1,HLOOKUP(C431,'計算書（第5回）'!$C$123:$U$124,2,TRUE),0)</f>
        <v>0</v>
      </c>
      <c r="N431" s="209">
        <f>IF('信用保険料計算書（上限2000万）'!$O$15="",0,IF($B431&lt;'信用保険料計算書（上限2000万）'!$O$15,0,IF($B431&gt;'信用保険料計算書（上限2000万）'!$O$16,0,1)))</f>
        <v>0</v>
      </c>
      <c r="O431" s="209">
        <f>IF(N431=1,HLOOKUP(C431,'計算書（第6回）'!$C$123:$U$124,2,TRUE),0)</f>
        <v>0</v>
      </c>
      <c r="P431" s="209">
        <f>IF('信用保険料計算書（上限2000万）'!$Q$15="",0,IF($B431&lt;'信用保険料計算書（上限2000万）'!$Q$15,0,IF($B431&gt;'信用保険料計算書（上限2000万）'!$Q$16,0,1)))</f>
        <v>0</v>
      </c>
      <c r="Q431" s="209">
        <f>IF(P431=1,HLOOKUP(C431,'計算書（第7回）'!$C$123:$U$124,2,TRUE),0)</f>
        <v>0</v>
      </c>
      <c r="R431" s="213"/>
      <c r="S431" s="211">
        <f>COUNTIF($AB$13:$AB$19,"&lt;=2031/12/1")</f>
        <v>2</v>
      </c>
      <c r="T431" s="178">
        <f t="shared" si="51"/>
        <v>44743</v>
      </c>
      <c r="U431" s="181">
        <f t="shared" si="48"/>
        <v>0</v>
      </c>
      <c r="V431" s="182">
        <f t="shared" si="55"/>
        <v>0</v>
      </c>
      <c r="W431" s="245">
        <f t="shared" si="52"/>
        <v>0</v>
      </c>
      <c r="X431" s="182"/>
    </row>
    <row r="432" spans="2:24">
      <c r="B432" s="214">
        <f t="shared" si="50"/>
        <v>53693</v>
      </c>
      <c r="C432" s="198">
        <f t="shared" si="47"/>
        <v>53662</v>
      </c>
      <c r="D432" s="209">
        <f>IF(B432&lt;'信用保険料計算書（上限2000万）'!$E$15,0,IF(B432&gt;'信用保険料計算書（上限2000万）'!$E$16,0,1))</f>
        <v>0</v>
      </c>
      <c r="E432" s="209">
        <f>IF(D432=1,HLOOKUP(C432,'計算書（第1回）'!$C$123:$U$124,2,TRUE),0)</f>
        <v>0</v>
      </c>
      <c r="F432" s="209">
        <f>IF('信用保険料計算書（上限2000万）'!$G$15="",0,IF($B432&lt;'信用保険料計算書（上限2000万）'!$G$15,0,IF($B432&gt;'信用保険料計算書（上限2000万）'!$G$16,0,1)))</f>
        <v>0</v>
      </c>
      <c r="G432" s="209">
        <f>IF(F432=1,HLOOKUP(C432,'計算書（第2回）'!$C$123:$U$124,2,TRUE),0)</f>
        <v>0</v>
      </c>
      <c r="H432" s="209">
        <f>IF('信用保険料計算書（上限2000万）'!$I$15="",0,IF($B432&lt;'信用保険料計算書（上限2000万）'!$I$15,0,IF($B432&gt;'信用保険料計算書（上限2000万）'!$I$16,0,1)))</f>
        <v>0</v>
      </c>
      <c r="I432" s="209">
        <f>IF(H432=1,HLOOKUP(C432,'計算書（第3回）'!$C$123:$U$124,2,TRUE),0)</f>
        <v>0</v>
      </c>
      <c r="J432" s="209">
        <f>IF('信用保険料計算書（上限2000万）'!$K$15="",0,IF($B432&lt;'信用保険料計算書（上限2000万）'!$K$15,0,IF($B432&gt;'信用保険料計算書（上限2000万）'!$K$16,0,1)))</f>
        <v>0</v>
      </c>
      <c r="K432" s="209">
        <f>IF(J432=1,HLOOKUP(C432,'計算書（第4回）'!$C$123:$U$124,2,TRUE),0)</f>
        <v>0</v>
      </c>
      <c r="L432" s="209">
        <f>IF('信用保険料計算書（上限2000万）'!$M$15="",0,IF($B432&lt;'信用保険料計算書（上限2000万）'!$M$15,0,IF($B432&gt;'信用保険料計算書（上限2000万）'!$M$16,0,1)))</f>
        <v>0</v>
      </c>
      <c r="M432" s="209">
        <f>IF(L432=1,HLOOKUP(C432,'計算書（第5回）'!$C$123:$U$124,2,TRUE),0)</f>
        <v>0</v>
      </c>
      <c r="N432" s="209">
        <f>IF('信用保険料計算書（上限2000万）'!$O$15="",0,IF($B432&lt;'信用保険料計算書（上限2000万）'!$O$15,0,IF($B432&gt;'信用保険料計算書（上限2000万）'!$O$16,0,1)))</f>
        <v>0</v>
      </c>
      <c r="O432" s="209">
        <f>IF(N432=1,HLOOKUP(C432,'計算書（第6回）'!$C$123:$U$124,2,TRUE),0)</f>
        <v>0</v>
      </c>
      <c r="P432" s="209">
        <f>IF('信用保険料計算書（上限2000万）'!$Q$15="",0,IF($B432&lt;'信用保険料計算書（上限2000万）'!$Q$15,0,IF($B432&gt;'信用保険料計算書（上限2000万）'!$Q$16,0,1)))</f>
        <v>0</v>
      </c>
      <c r="Q432" s="209">
        <f>IF(P432=1,HLOOKUP(C432,'計算書（第7回）'!$C$123:$U$124,2,TRUE),0)</f>
        <v>0</v>
      </c>
      <c r="R432" s="212"/>
      <c r="S432" s="211">
        <f>COUNTIF($AB$13:$AB$19,"&lt;=2032/1/1")</f>
        <v>2</v>
      </c>
      <c r="T432" s="178">
        <f t="shared" si="51"/>
        <v>44743</v>
      </c>
      <c r="U432" s="181">
        <f t="shared" si="48"/>
        <v>0</v>
      </c>
      <c r="V432" s="182">
        <f t="shared" si="55"/>
        <v>0</v>
      </c>
      <c r="W432" s="245">
        <f t="shared" si="52"/>
        <v>0</v>
      </c>
      <c r="X432" s="182"/>
    </row>
    <row r="433" spans="2:24">
      <c r="B433" s="214">
        <f t="shared" si="50"/>
        <v>53724</v>
      </c>
      <c r="C433" s="198">
        <f t="shared" si="47"/>
        <v>53693</v>
      </c>
      <c r="D433" s="209">
        <f>IF(B433&lt;'信用保険料計算書（上限2000万）'!$E$15,0,IF(B433&gt;'信用保険料計算書（上限2000万）'!$E$16,0,1))</f>
        <v>0</v>
      </c>
      <c r="E433" s="209">
        <f>IF(D433=1,HLOOKUP(C433,'計算書（第1回）'!$C$123:$U$124,2,TRUE),0)</f>
        <v>0</v>
      </c>
      <c r="F433" s="209">
        <f>IF('信用保険料計算書（上限2000万）'!$G$15="",0,IF($B433&lt;'信用保険料計算書（上限2000万）'!$G$15,0,IF($B433&gt;'信用保険料計算書（上限2000万）'!$G$16,0,1)))</f>
        <v>0</v>
      </c>
      <c r="G433" s="209">
        <f>IF(F433=1,HLOOKUP(C433,'計算書（第2回）'!$C$123:$U$124,2,TRUE),0)</f>
        <v>0</v>
      </c>
      <c r="H433" s="209">
        <f>IF('信用保険料計算書（上限2000万）'!$I$15="",0,IF($B433&lt;'信用保険料計算書（上限2000万）'!$I$15,0,IF($B433&gt;'信用保険料計算書（上限2000万）'!$I$16,0,1)))</f>
        <v>0</v>
      </c>
      <c r="I433" s="209">
        <f>IF(H433=1,HLOOKUP(C433,'計算書（第3回）'!$C$123:$U$124,2,TRUE),0)</f>
        <v>0</v>
      </c>
      <c r="J433" s="209">
        <f>IF('信用保険料計算書（上限2000万）'!$K$15="",0,IF($B433&lt;'信用保険料計算書（上限2000万）'!$K$15,0,IF($B433&gt;'信用保険料計算書（上限2000万）'!$K$16,0,1)))</f>
        <v>0</v>
      </c>
      <c r="K433" s="209">
        <f>IF(J433=1,HLOOKUP(C433,'計算書（第4回）'!$C$123:$U$124,2,TRUE),0)</f>
        <v>0</v>
      </c>
      <c r="L433" s="209">
        <f>IF('信用保険料計算書（上限2000万）'!$M$15="",0,IF($B433&lt;'信用保険料計算書（上限2000万）'!$M$15,0,IF($B433&gt;'信用保険料計算書（上限2000万）'!$M$16,0,1)))</f>
        <v>0</v>
      </c>
      <c r="M433" s="209">
        <f>IF(L433=1,HLOOKUP(C433,'計算書（第5回）'!$C$123:$U$124,2,TRUE),0)</f>
        <v>0</v>
      </c>
      <c r="N433" s="209">
        <f>IF('信用保険料計算書（上限2000万）'!$O$15="",0,IF($B433&lt;'信用保険料計算書（上限2000万）'!$O$15,0,IF($B433&gt;'信用保険料計算書（上限2000万）'!$O$16,0,1)))</f>
        <v>0</v>
      </c>
      <c r="O433" s="209">
        <f>IF(N433=1,HLOOKUP(C433,'計算書（第6回）'!$C$123:$U$124,2,TRUE),0)</f>
        <v>0</v>
      </c>
      <c r="P433" s="209">
        <f>IF('信用保険料計算書（上限2000万）'!$Q$15="",0,IF($B433&lt;'信用保険料計算書（上限2000万）'!$Q$15,0,IF($B433&gt;'信用保険料計算書（上限2000万）'!$Q$16,0,1)))</f>
        <v>0</v>
      </c>
      <c r="Q433" s="209">
        <f>IF(P433=1,HLOOKUP(C433,'計算書（第7回）'!$C$123:$U$124,2,TRUE),0)</f>
        <v>0</v>
      </c>
      <c r="R433" s="212"/>
      <c r="S433" s="211">
        <f>COUNTIF($AB$13:$AB$19,"&lt;=2032/2/1")</f>
        <v>2</v>
      </c>
      <c r="T433" s="178">
        <f t="shared" si="51"/>
        <v>44743</v>
      </c>
      <c r="U433" s="181">
        <f t="shared" si="48"/>
        <v>0</v>
      </c>
      <c r="V433" s="182">
        <f t="shared" si="55"/>
        <v>0</v>
      </c>
      <c r="W433" s="245">
        <f t="shared" si="52"/>
        <v>0</v>
      </c>
      <c r="X433" s="182"/>
    </row>
    <row r="434" spans="2:24">
      <c r="B434" s="214">
        <f t="shared" si="50"/>
        <v>53752</v>
      </c>
      <c r="C434" s="198">
        <f t="shared" si="47"/>
        <v>53724</v>
      </c>
      <c r="D434" s="209">
        <f>IF(B434&lt;'信用保険料計算書（上限2000万）'!$E$15,0,IF(B434&gt;'信用保険料計算書（上限2000万）'!$E$16,0,1))</f>
        <v>0</v>
      </c>
      <c r="E434" s="209">
        <f>IF(D434=1,HLOOKUP(C434,'計算書（第1回）'!$C$123:$U$124,2,TRUE),0)</f>
        <v>0</v>
      </c>
      <c r="F434" s="209">
        <f>IF('信用保険料計算書（上限2000万）'!$G$15="",0,IF($B434&lt;'信用保険料計算書（上限2000万）'!$G$15,0,IF($B434&gt;'信用保険料計算書（上限2000万）'!$G$16,0,1)))</f>
        <v>0</v>
      </c>
      <c r="G434" s="209">
        <f>IF(F434=1,HLOOKUP(C434,'計算書（第2回）'!$C$123:$U$124,2,TRUE),0)</f>
        <v>0</v>
      </c>
      <c r="H434" s="209">
        <f>IF('信用保険料計算書（上限2000万）'!$I$15="",0,IF($B434&lt;'信用保険料計算書（上限2000万）'!$I$15,0,IF($B434&gt;'信用保険料計算書（上限2000万）'!$I$16,0,1)))</f>
        <v>0</v>
      </c>
      <c r="I434" s="209">
        <f>IF(H434=1,HLOOKUP(C434,'計算書（第3回）'!$C$123:$U$124,2,TRUE),0)</f>
        <v>0</v>
      </c>
      <c r="J434" s="209">
        <f>IF('信用保険料計算書（上限2000万）'!$K$15="",0,IF($B434&lt;'信用保険料計算書（上限2000万）'!$K$15,0,IF($B434&gt;'信用保険料計算書（上限2000万）'!$K$16,0,1)))</f>
        <v>0</v>
      </c>
      <c r="K434" s="209">
        <f>IF(J434=1,HLOOKUP(C434,'計算書（第4回）'!$C$123:$U$124,2,TRUE),0)</f>
        <v>0</v>
      </c>
      <c r="L434" s="209">
        <f>IF('信用保険料計算書（上限2000万）'!$M$15="",0,IF($B434&lt;'信用保険料計算書（上限2000万）'!$M$15,0,IF($B434&gt;'信用保険料計算書（上限2000万）'!$M$16,0,1)))</f>
        <v>0</v>
      </c>
      <c r="M434" s="209">
        <f>IF(L434=1,HLOOKUP(C434,'計算書（第5回）'!$C$123:$U$124,2,TRUE),0)</f>
        <v>0</v>
      </c>
      <c r="N434" s="209">
        <f>IF('信用保険料計算書（上限2000万）'!$O$15="",0,IF($B434&lt;'信用保険料計算書（上限2000万）'!$O$15,0,IF($B434&gt;'信用保険料計算書（上限2000万）'!$O$16,0,1)))</f>
        <v>0</v>
      </c>
      <c r="O434" s="209">
        <f>IF(N434=1,HLOOKUP(C434,'計算書（第6回）'!$C$123:$U$124,2,TRUE),0)</f>
        <v>0</v>
      </c>
      <c r="P434" s="209">
        <f>IF('信用保険料計算書（上限2000万）'!$Q$15="",0,IF($B434&lt;'信用保険料計算書（上限2000万）'!$Q$15,0,IF($B434&gt;'信用保険料計算書（上限2000万）'!$Q$16,0,1)))</f>
        <v>0</v>
      </c>
      <c r="Q434" s="209">
        <f>IF(P434=1,HLOOKUP(C434,'計算書（第7回）'!$C$123:$U$124,2,TRUE),0)</f>
        <v>0</v>
      </c>
      <c r="R434" s="212"/>
      <c r="S434" s="211">
        <f>COUNTIF($AB$13:$AB$19,"&lt;=2032/3/1")</f>
        <v>2</v>
      </c>
      <c r="T434" s="178">
        <f t="shared" si="51"/>
        <v>44743</v>
      </c>
      <c r="U434" s="181">
        <f t="shared" si="48"/>
        <v>0</v>
      </c>
      <c r="V434" s="182">
        <f t="shared" si="55"/>
        <v>0</v>
      </c>
      <c r="W434" s="245">
        <f t="shared" si="52"/>
        <v>0</v>
      </c>
      <c r="X434" s="183">
        <f>INT(SUM(W429:W434))</f>
        <v>0</v>
      </c>
    </row>
    <row r="435" spans="2:24">
      <c r="B435" s="214">
        <f t="shared" si="50"/>
        <v>53783</v>
      </c>
      <c r="C435" s="198">
        <f t="shared" si="47"/>
        <v>53752</v>
      </c>
      <c r="D435" s="209">
        <f>IF(B435&lt;'信用保険料計算書（上限2000万）'!$E$15,0,IF(B435&gt;'信用保険料計算書（上限2000万）'!$E$16,0,1))</f>
        <v>0</v>
      </c>
      <c r="E435" s="209">
        <f>IF(D435=1,HLOOKUP(C435,'計算書（第1回）'!$C$123:$U$124,2,TRUE),0)</f>
        <v>0</v>
      </c>
      <c r="F435" s="209">
        <f>IF('信用保険料計算書（上限2000万）'!$G$15="",0,IF($B435&lt;'信用保険料計算書（上限2000万）'!$G$15,0,IF($B435&gt;'信用保険料計算書（上限2000万）'!$G$16,0,1)))</f>
        <v>0</v>
      </c>
      <c r="G435" s="209">
        <f>IF(F435=1,HLOOKUP(C435,'計算書（第2回）'!$C$123:$U$124,2,TRUE),0)</f>
        <v>0</v>
      </c>
      <c r="H435" s="209">
        <f>IF('信用保険料計算書（上限2000万）'!$I$15="",0,IF($B435&lt;'信用保険料計算書（上限2000万）'!$I$15,0,IF($B435&gt;'信用保険料計算書（上限2000万）'!$I$16,0,1)))</f>
        <v>0</v>
      </c>
      <c r="I435" s="209">
        <f>IF(H435=1,HLOOKUP(C435,'計算書（第3回）'!$C$123:$U$124,2,TRUE),0)</f>
        <v>0</v>
      </c>
      <c r="J435" s="209">
        <f>IF('信用保険料計算書（上限2000万）'!$K$15="",0,IF($B435&lt;'信用保険料計算書（上限2000万）'!$K$15,0,IF($B435&gt;'信用保険料計算書（上限2000万）'!$K$16,0,1)))</f>
        <v>0</v>
      </c>
      <c r="K435" s="209">
        <f>IF(J435=1,HLOOKUP(C435,'計算書（第4回）'!$C$123:$U$124,2,TRUE),0)</f>
        <v>0</v>
      </c>
      <c r="L435" s="209">
        <f>IF('信用保険料計算書（上限2000万）'!$M$15="",0,IF($B435&lt;'信用保険料計算書（上限2000万）'!$M$15,0,IF($B435&gt;'信用保険料計算書（上限2000万）'!$M$16,0,1)))</f>
        <v>0</v>
      </c>
      <c r="M435" s="209">
        <f>IF(L435=1,HLOOKUP(C435,'計算書（第5回）'!$C$123:$U$124,2,TRUE),0)</f>
        <v>0</v>
      </c>
      <c r="N435" s="209">
        <f>IF('信用保険料計算書（上限2000万）'!$O$15="",0,IF($B435&lt;'信用保険料計算書（上限2000万）'!$O$15,0,IF($B435&gt;'信用保険料計算書（上限2000万）'!$O$16,0,1)))</f>
        <v>0</v>
      </c>
      <c r="O435" s="209">
        <f>IF(N435=1,HLOOKUP(C435,'計算書（第6回）'!$C$123:$U$124,2,TRUE),0)</f>
        <v>0</v>
      </c>
      <c r="P435" s="209">
        <f>IF('信用保険料計算書（上限2000万）'!$Q$15="",0,IF($B435&lt;'信用保険料計算書（上限2000万）'!$Q$15,0,IF($B435&gt;'信用保険料計算書（上限2000万）'!$Q$16,0,1)))</f>
        <v>0</v>
      </c>
      <c r="Q435" s="209">
        <f>IF(P435=1,HLOOKUP(C435,'計算書（第7回）'!$C$123:$U$124,2,TRUE),0)</f>
        <v>0</v>
      </c>
      <c r="R435" s="213"/>
      <c r="S435" s="211">
        <f>COUNTIF($AB$13:$AB$19,"&lt;=2031/4/1")</f>
        <v>2</v>
      </c>
      <c r="T435" s="178">
        <f t="shared" si="51"/>
        <v>44743</v>
      </c>
      <c r="U435" s="181">
        <f t="shared" si="48"/>
        <v>0</v>
      </c>
      <c r="V435" s="182">
        <f t="shared" ref="V435:V458" si="56">IF(U435=0,0,IF(U435&gt;VLOOKUP(T435,$AA$5:$AB$8,2,TRUE),VLOOKUP(T435,$AA$5:$AB$8,2,TRUE),U435))</f>
        <v>0</v>
      </c>
      <c r="W435" s="245">
        <f t="shared" si="52"/>
        <v>0</v>
      </c>
      <c r="X435" s="182"/>
    </row>
    <row r="436" spans="2:24">
      <c r="B436" s="214">
        <f t="shared" si="50"/>
        <v>53813</v>
      </c>
      <c r="C436" s="198">
        <f t="shared" si="47"/>
        <v>53783</v>
      </c>
      <c r="D436" s="209">
        <f>IF(B436&lt;'信用保険料計算書（上限2000万）'!$E$15,0,IF(B436&gt;'信用保険料計算書（上限2000万）'!$E$16,0,1))</f>
        <v>0</v>
      </c>
      <c r="E436" s="209">
        <f>IF(D436=1,HLOOKUP(C436,'計算書（第1回）'!$C$123:$U$124,2,TRUE),0)</f>
        <v>0</v>
      </c>
      <c r="F436" s="209">
        <f>IF('信用保険料計算書（上限2000万）'!$G$15="",0,IF($B436&lt;'信用保険料計算書（上限2000万）'!$G$15,0,IF($B436&gt;'信用保険料計算書（上限2000万）'!$G$16,0,1)))</f>
        <v>0</v>
      </c>
      <c r="G436" s="209">
        <f>IF(F436=1,HLOOKUP(C436,'計算書（第2回）'!$C$123:$U$124,2,TRUE),0)</f>
        <v>0</v>
      </c>
      <c r="H436" s="209">
        <f>IF('信用保険料計算書（上限2000万）'!$I$15="",0,IF($B436&lt;'信用保険料計算書（上限2000万）'!$I$15,0,IF($B436&gt;'信用保険料計算書（上限2000万）'!$I$16,0,1)))</f>
        <v>0</v>
      </c>
      <c r="I436" s="209">
        <f>IF(H436=1,HLOOKUP(C436,'計算書（第3回）'!$C$123:$U$124,2,TRUE),0)</f>
        <v>0</v>
      </c>
      <c r="J436" s="209">
        <f>IF('信用保険料計算書（上限2000万）'!$K$15="",0,IF($B436&lt;'信用保険料計算書（上限2000万）'!$K$15,0,IF($B436&gt;'信用保険料計算書（上限2000万）'!$K$16,0,1)))</f>
        <v>0</v>
      </c>
      <c r="K436" s="209">
        <f>IF(J436=1,HLOOKUP(C436,'計算書（第4回）'!$C$123:$U$124,2,TRUE),0)</f>
        <v>0</v>
      </c>
      <c r="L436" s="209">
        <f>IF('信用保険料計算書（上限2000万）'!$M$15="",0,IF($B436&lt;'信用保険料計算書（上限2000万）'!$M$15,0,IF($B436&gt;'信用保険料計算書（上限2000万）'!$M$16,0,1)))</f>
        <v>0</v>
      </c>
      <c r="M436" s="209">
        <f>IF(L436=1,HLOOKUP(C436,'計算書（第5回）'!$C$123:$U$124,2,TRUE),0)</f>
        <v>0</v>
      </c>
      <c r="N436" s="209">
        <f>IF('信用保険料計算書（上限2000万）'!$O$15="",0,IF($B436&lt;'信用保険料計算書（上限2000万）'!$O$15,0,IF($B436&gt;'信用保険料計算書（上限2000万）'!$O$16,0,1)))</f>
        <v>0</v>
      </c>
      <c r="O436" s="209">
        <f>IF(N436=1,HLOOKUP(C436,'計算書（第6回）'!$C$123:$U$124,2,TRUE),0)</f>
        <v>0</v>
      </c>
      <c r="P436" s="209">
        <f>IF('信用保険料計算書（上限2000万）'!$Q$15="",0,IF($B436&lt;'信用保険料計算書（上限2000万）'!$Q$15,0,IF($B436&gt;'信用保険料計算書（上限2000万）'!$Q$16,0,1)))</f>
        <v>0</v>
      </c>
      <c r="Q436" s="209">
        <f>IF(P436=1,HLOOKUP(C436,'計算書（第7回）'!$C$123:$U$124,2,TRUE),0)</f>
        <v>0</v>
      </c>
      <c r="R436" s="213"/>
      <c r="S436" s="211">
        <f>COUNTIF($AB$13:$AB$19,"&lt;=2031/5/1")</f>
        <v>2</v>
      </c>
      <c r="T436" s="178">
        <f t="shared" si="51"/>
        <v>44743</v>
      </c>
      <c r="U436" s="181">
        <f t="shared" si="48"/>
        <v>0</v>
      </c>
      <c r="V436" s="182">
        <f t="shared" si="56"/>
        <v>0</v>
      </c>
      <c r="W436" s="245">
        <f t="shared" si="52"/>
        <v>0</v>
      </c>
      <c r="X436" s="182"/>
    </row>
    <row r="437" spans="2:24">
      <c r="B437" s="214">
        <f t="shared" si="50"/>
        <v>53844</v>
      </c>
      <c r="C437" s="198">
        <f t="shared" si="47"/>
        <v>53813</v>
      </c>
      <c r="D437" s="209">
        <f>IF(B437&lt;'信用保険料計算書（上限2000万）'!$E$15,0,IF(B437&gt;'信用保険料計算書（上限2000万）'!$E$16,0,1))</f>
        <v>0</v>
      </c>
      <c r="E437" s="209">
        <f>IF(D437=1,HLOOKUP(C437,'計算書（第1回）'!$C$123:$U$124,2,TRUE),0)</f>
        <v>0</v>
      </c>
      <c r="F437" s="209">
        <f>IF('信用保険料計算書（上限2000万）'!$G$15="",0,IF($B437&lt;'信用保険料計算書（上限2000万）'!$G$15,0,IF($B437&gt;'信用保険料計算書（上限2000万）'!$G$16,0,1)))</f>
        <v>0</v>
      </c>
      <c r="G437" s="209">
        <f>IF(F437=1,HLOOKUP(C437,'計算書（第2回）'!$C$123:$U$124,2,TRUE),0)</f>
        <v>0</v>
      </c>
      <c r="H437" s="209">
        <f>IF('信用保険料計算書（上限2000万）'!$I$15="",0,IF($B437&lt;'信用保険料計算書（上限2000万）'!$I$15,0,IF($B437&gt;'信用保険料計算書（上限2000万）'!$I$16,0,1)))</f>
        <v>0</v>
      </c>
      <c r="I437" s="209">
        <f>IF(H437=1,HLOOKUP(C437,'計算書（第3回）'!$C$123:$U$124,2,TRUE),0)</f>
        <v>0</v>
      </c>
      <c r="J437" s="209">
        <f>IF('信用保険料計算書（上限2000万）'!$K$15="",0,IF($B437&lt;'信用保険料計算書（上限2000万）'!$K$15,0,IF($B437&gt;'信用保険料計算書（上限2000万）'!$K$16,0,1)))</f>
        <v>0</v>
      </c>
      <c r="K437" s="209">
        <f>IF(J437=1,HLOOKUP(C437,'計算書（第4回）'!$C$123:$U$124,2,TRUE),0)</f>
        <v>0</v>
      </c>
      <c r="L437" s="209">
        <f>IF('信用保険料計算書（上限2000万）'!$M$15="",0,IF($B437&lt;'信用保険料計算書（上限2000万）'!$M$15,0,IF($B437&gt;'信用保険料計算書（上限2000万）'!$M$16,0,1)))</f>
        <v>0</v>
      </c>
      <c r="M437" s="209">
        <f>IF(L437=1,HLOOKUP(C437,'計算書（第5回）'!$C$123:$U$124,2,TRUE),0)</f>
        <v>0</v>
      </c>
      <c r="N437" s="209">
        <f>IF('信用保険料計算書（上限2000万）'!$O$15="",0,IF($B437&lt;'信用保険料計算書（上限2000万）'!$O$15,0,IF($B437&gt;'信用保険料計算書（上限2000万）'!$O$16,0,1)))</f>
        <v>0</v>
      </c>
      <c r="O437" s="209">
        <f>IF(N437=1,HLOOKUP(C437,'計算書（第6回）'!$C$123:$U$124,2,TRUE),0)</f>
        <v>0</v>
      </c>
      <c r="P437" s="209">
        <f>IF('信用保険料計算書（上限2000万）'!$Q$15="",0,IF($B437&lt;'信用保険料計算書（上限2000万）'!$Q$15,0,IF($B437&gt;'信用保険料計算書（上限2000万）'!$Q$16,0,1)))</f>
        <v>0</v>
      </c>
      <c r="Q437" s="209">
        <f>IF(P437=1,HLOOKUP(C437,'計算書（第7回）'!$C$123:$U$124,2,TRUE),0)</f>
        <v>0</v>
      </c>
      <c r="R437" s="213"/>
      <c r="S437" s="211">
        <f>COUNTIF($AB$13:$AB$19,"&lt;=2031/6/1")</f>
        <v>2</v>
      </c>
      <c r="T437" s="178">
        <f t="shared" si="51"/>
        <v>44743</v>
      </c>
      <c r="U437" s="181">
        <f t="shared" si="48"/>
        <v>0</v>
      </c>
      <c r="V437" s="182">
        <f t="shared" si="56"/>
        <v>0</v>
      </c>
      <c r="W437" s="245">
        <f t="shared" si="52"/>
        <v>0</v>
      </c>
      <c r="X437" s="182"/>
    </row>
    <row r="438" spans="2:24">
      <c r="B438" s="214">
        <f t="shared" si="50"/>
        <v>53874</v>
      </c>
      <c r="C438" s="198">
        <f t="shared" si="47"/>
        <v>53844</v>
      </c>
      <c r="D438" s="209">
        <f>IF(B438&lt;'信用保険料計算書（上限2000万）'!$E$15,0,IF(B438&gt;'信用保険料計算書（上限2000万）'!$E$16,0,1))</f>
        <v>0</v>
      </c>
      <c r="E438" s="209">
        <f>IF(D438=1,HLOOKUP(C438,'計算書（第1回）'!$C$123:$U$124,2,TRUE),0)</f>
        <v>0</v>
      </c>
      <c r="F438" s="209">
        <f>IF('信用保険料計算書（上限2000万）'!$G$15="",0,IF($B438&lt;'信用保険料計算書（上限2000万）'!$G$15,0,IF($B438&gt;'信用保険料計算書（上限2000万）'!$G$16,0,1)))</f>
        <v>0</v>
      </c>
      <c r="G438" s="209">
        <f>IF(F438=1,HLOOKUP(C438,'計算書（第2回）'!$C$123:$U$124,2,TRUE),0)</f>
        <v>0</v>
      </c>
      <c r="H438" s="209">
        <f>IF('信用保険料計算書（上限2000万）'!$I$15="",0,IF($B438&lt;'信用保険料計算書（上限2000万）'!$I$15,0,IF($B438&gt;'信用保険料計算書（上限2000万）'!$I$16,0,1)))</f>
        <v>0</v>
      </c>
      <c r="I438" s="209">
        <f>IF(H438=1,HLOOKUP(C438,'計算書（第3回）'!$C$123:$U$124,2,TRUE),0)</f>
        <v>0</v>
      </c>
      <c r="J438" s="209">
        <f>IF('信用保険料計算書（上限2000万）'!$K$15="",0,IF($B438&lt;'信用保険料計算書（上限2000万）'!$K$15,0,IF($B438&gt;'信用保険料計算書（上限2000万）'!$K$16,0,1)))</f>
        <v>0</v>
      </c>
      <c r="K438" s="209">
        <f>IF(J438=1,HLOOKUP(C438,'計算書（第4回）'!$C$123:$U$124,2,TRUE),0)</f>
        <v>0</v>
      </c>
      <c r="L438" s="209">
        <f>IF('信用保険料計算書（上限2000万）'!$M$15="",0,IF($B438&lt;'信用保険料計算書（上限2000万）'!$M$15,0,IF($B438&gt;'信用保険料計算書（上限2000万）'!$M$16,0,1)))</f>
        <v>0</v>
      </c>
      <c r="M438" s="209">
        <f>IF(L438=1,HLOOKUP(C438,'計算書（第5回）'!$C$123:$U$124,2,TRUE),0)</f>
        <v>0</v>
      </c>
      <c r="N438" s="209">
        <f>IF('信用保険料計算書（上限2000万）'!$O$15="",0,IF($B438&lt;'信用保険料計算書（上限2000万）'!$O$15,0,IF($B438&gt;'信用保険料計算書（上限2000万）'!$O$16,0,1)))</f>
        <v>0</v>
      </c>
      <c r="O438" s="209">
        <f>IF(N438=1,HLOOKUP(C438,'計算書（第6回）'!$C$123:$U$124,2,TRUE),0)</f>
        <v>0</v>
      </c>
      <c r="P438" s="209">
        <f>IF('信用保険料計算書（上限2000万）'!$Q$15="",0,IF($B438&lt;'信用保険料計算書（上限2000万）'!$Q$15,0,IF($B438&gt;'信用保険料計算書（上限2000万）'!$Q$16,0,1)))</f>
        <v>0</v>
      </c>
      <c r="Q438" s="209">
        <f>IF(P438=1,HLOOKUP(C438,'計算書（第7回）'!$C$123:$U$124,2,TRUE),0)</f>
        <v>0</v>
      </c>
      <c r="R438" s="213"/>
      <c r="S438" s="211">
        <f>COUNTIF($AB$13:$AB$19,"&lt;=2031/7/1")</f>
        <v>2</v>
      </c>
      <c r="T438" s="178">
        <f t="shared" si="51"/>
        <v>44743</v>
      </c>
      <c r="U438" s="181">
        <f t="shared" si="48"/>
        <v>0</v>
      </c>
      <c r="V438" s="182">
        <f t="shared" si="56"/>
        <v>0</v>
      </c>
      <c r="W438" s="245">
        <f t="shared" si="52"/>
        <v>0</v>
      </c>
      <c r="X438" s="182"/>
    </row>
    <row r="439" spans="2:24">
      <c r="B439" s="214">
        <f t="shared" si="50"/>
        <v>53905</v>
      </c>
      <c r="C439" s="198">
        <f t="shared" si="47"/>
        <v>53874</v>
      </c>
      <c r="D439" s="209">
        <f>IF(B439&lt;'信用保険料計算書（上限2000万）'!$E$15,0,IF(B439&gt;'信用保険料計算書（上限2000万）'!$E$16,0,1))</f>
        <v>0</v>
      </c>
      <c r="E439" s="209">
        <f>IF(D439=1,HLOOKUP(C439,'計算書（第1回）'!$C$123:$U$124,2,TRUE),0)</f>
        <v>0</v>
      </c>
      <c r="F439" s="209">
        <f>IF('信用保険料計算書（上限2000万）'!$G$15="",0,IF($B439&lt;'信用保険料計算書（上限2000万）'!$G$15,0,IF($B439&gt;'信用保険料計算書（上限2000万）'!$G$16,0,1)))</f>
        <v>0</v>
      </c>
      <c r="G439" s="209">
        <f>IF(F439=1,HLOOKUP(C439,'計算書（第2回）'!$C$123:$U$124,2,TRUE),0)</f>
        <v>0</v>
      </c>
      <c r="H439" s="209">
        <f>IF('信用保険料計算書（上限2000万）'!$I$15="",0,IF($B439&lt;'信用保険料計算書（上限2000万）'!$I$15,0,IF($B439&gt;'信用保険料計算書（上限2000万）'!$I$16,0,1)))</f>
        <v>0</v>
      </c>
      <c r="I439" s="209">
        <f>IF(H439=1,HLOOKUP(C439,'計算書（第3回）'!$C$123:$U$124,2,TRUE),0)</f>
        <v>0</v>
      </c>
      <c r="J439" s="209">
        <f>IF('信用保険料計算書（上限2000万）'!$K$15="",0,IF($B439&lt;'信用保険料計算書（上限2000万）'!$K$15,0,IF($B439&gt;'信用保険料計算書（上限2000万）'!$K$16,0,1)))</f>
        <v>0</v>
      </c>
      <c r="K439" s="209">
        <f>IF(J439=1,HLOOKUP(C439,'計算書（第4回）'!$C$123:$U$124,2,TRUE),0)</f>
        <v>0</v>
      </c>
      <c r="L439" s="209">
        <f>IF('信用保険料計算書（上限2000万）'!$M$15="",0,IF($B439&lt;'信用保険料計算書（上限2000万）'!$M$15,0,IF($B439&gt;'信用保険料計算書（上限2000万）'!$M$16,0,1)))</f>
        <v>0</v>
      </c>
      <c r="M439" s="209">
        <f>IF(L439=1,HLOOKUP(C439,'計算書（第5回）'!$C$123:$U$124,2,TRUE),0)</f>
        <v>0</v>
      </c>
      <c r="N439" s="209">
        <f>IF('信用保険料計算書（上限2000万）'!$O$15="",0,IF($B439&lt;'信用保険料計算書（上限2000万）'!$O$15,0,IF($B439&gt;'信用保険料計算書（上限2000万）'!$O$16,0,1)))</f>
        <v>0</v>
      </c>
      <c r="O439" s="209">
        <f>IF(N439=1,HLOOKUP(C439,'計算書（第6回）'!$C$123:$U$124,2,TRUE),0)</f>
        <v>0</v>
      </c>
      <c r="P439" s="209">
        <f>IF('信用保険料計算書（上限2000万）'!$Q$15="",0,IF($B439&lt;'信用保険料計算書（上限2000万）'!$Q$15,0,IF($B439&gt;'信用保険料計算書（上限2000万）'!$Q$16,0,1)))</f>
        <v>0</v>
      </c>
      <c r="Q439" s="209">
        <f>IF(P439=1,HLOOKUP(C439,'計算書（第7回）'!$C$123:$U$124,2,TRUE),0)</f>
        <v>0</v>
      </c>
      <c r="R439" s="213"/>
      <c r="S439" s="211">
        <f>COUNTIF($AB$13:$AB$19,"&lt;=2031/8/1")</f>
        <v>2</v>
      </c>
      <c r="T439" s="178">
        <f t="shared" si="51"/>
        <v>44743</v>
      </c>
      <c r="U439" s="181">
        <f t="shared" si="48"/>
        <v>0</v>
      </c>
      <c r="V439" s="182">
        <f t="shared" si="56"/>
        <v>0</v>
      </c>
      <c r="W439" s="245">
        <f t="shared" si="52"/>
        <v>0</v>
      </c>
      <c r="X439" s="182"/>
    </row>
    <row r="440" spans="2:24">
      <c r="B440" s="214">
        <f t="shared" si="50"/>
        <v>53936</v>
      </c>
      <c r="C440" s="198">
        <f t="shared" si="47"/>
        <v>53905</v>
      </c>
      <c r="D440" s="209">
        <f>IF(B440&lt;'信用保険料計算書（上限2000万）'!$E$15,0,IF(B440&gt;'信用保険料計算書（上限2000万）'!$E$16,0,1))</f>
        <v>0</v>
      </c>
      <c r="E440" s="209">
        <f>IF(D440=1,HLOOKUP(C440,'計算書（第1回）'!$C$123:$U$124,2,TRUE),0)</f>
        <v>0</v>
      </c>
      <c r="F440" s="209">
        <f>IF('信用保険料計算書（上限2000万）'!$G$15="",0,IF($B440&lt;'信用保険料計算書（上限2000万）'!$G$15,0,IF($B440&gt;'信用保険料計算書（上限2000万）'!$G$16,0,1)))</f>
        <v>0</v>
      </c>
      <c r="G440" s="209">
        <f>IF(F440=1,HLOOKUP(C440,'計算書（第2回）'!$C$123:$U$124,2,TRUE),0)</f>
        <v>0</v>
      </c>
      <c r="H440" s="209">
        <f>IF('信用保険料計算書（上限2000万）'!$I$15="",0,IF($B440&lt;'信用保険料計算書（上限2000万）'!$I$15,0,IF($B440&gt;'信用保険料計算書（上限2000万）'!$I$16,0,1)))</f>
        <v>0</v>
      </c>
      <c r="I440" s="209">
        <f>IF(H440=1,HLOOKUP(C440,'計算書（第3回）'!$C$123:$U$124,2,TRUE),0)</f>
        <v>0</v>
      </c>
      <c r="J440" s="209">
        <f>IF('信用保険料計算書（上限2000万）'!$K$15="",0,IF($B440&lt;'信用保険料計算書（上限2000万）'!$K$15,0,IF($B440&gt;'信用保険料計算書（上限2000万）'!$K$16,0,1)))</f>
        <v>0</v>
      </c>
      <c r="K440" s="209">
        <f>IF(J440=1,HLOOKUP(C440,'計算書（第4回）'!$C$123:$U$124,2,TRUE),0)</f>
        <v>0</v>
      </c>
      <c r="L440" s="209">
        <f>IF('信用保険料計算書（上限2000万）'!$M$15="",0,IF($B440&lt;'信用保険料計算書（上限2000万）'!$M$15,0,IF($B440&gt;'信用保険料計算書（上限2000万）'!$M$16,0,1)))</f>
        <v>0</v>
      </c>
      <c r="M440" s="209">
        <f>IF(L440=1,HLOOKUP(C440,'計算書（第5回）'!$C$123:$U$124,2,TRUE),0)</f>
        <v>0</v>
      </c>
      <c r="N440" s="209">
        <f>IF('信用保険料計算書（上限2000万）'!$O$15="",0,IF($B440&lt;'信用保険料計算書（上限2000万）'!$O$15,0,IF($B440&gt;'信用保険料計算書（上限2000万）'!$O$16,0,1)))</f>
        <v>0</v>
      </c>
      <c r="O440" s="209">
        <f>IF(N440=1,HLOOKUP(C440,'計算書（第6回）'!$C$123:$U$124,2,TRUE),0)</f>
        <v>0</v>
      </c>
      <c r="P440" s="209">
        <f>IF('信用保険料計算書（上限2000万）'!$Q$15="",0,IF($B440&lt;'信用保険料計算書（上限2000万）'!$Q$15,0,IF($B440&gt;'信用保険料計算書（上限2000万）'!$Q$16,0,1)))</f>
        <v>0</v>
      </c>
      <c r="Q440" s="209">
        <f>IF(P440=1,HLOOKUP(C440,'計算書（第7回）'!$C$123:$U$124,2,TRUE),0)</f>
        <v>0</v>
      </c>
      <c r="R440" s="213"/>
      <c r="S440" s="211">
        <f>COUNTIF($AB$13:$AB$19,"&lt;=2031/9/1")</f>
        <v>2</v>
      </c>
      <c r="T440" s="178">
        <f t="shared" si="51"/>
        <v>44743</v>
      </c>
      <c r="U440" s="181">
        <f t="shared" si="48"/>
        <v>0</v>
      </c>
      <c r="V440" s="182">
        <f t="shared" si="56"/>
        <v>0</v>
      </c>
      <c r="W440" s="245">
        <f t="shared" si="52"/>
        <v>0</v>
      </c>
      <c r="X440" s="183">
        <f>INT(SUM(W435:W440))</f>
        <v>0</v>
      </c>
    </row>
    <row r="441" spans="2:24">
      <c r="B441" s="214">
        <f t="shared" si="50"/>
        <v>53966</v>
      </c>
      <c r="C441" s="198">
        <f t="shared" si="47"/>
        <v>53936</v>
      </c>
      <c r="D441" s="209">
        <f>IF(B441&lt;'信用保険料計算書（上限2000万）'!$E$15,0,IF(B441&gt;'信用保険料計算書（上限2000万）'!$E$16,0,1))</f>
        <v>0</v>
      </c>
      <c r="E441" s="209">
        <f>IF(D441=1,HLOOKUP(C441,'計算書（第1回）'!$C$123:$U$124,2,TRUE),0)</f>
        <v>0</v>
      </c>
      <c r="F441" s="209">
        <f>IF('信用保険料計算書（上限2000万）'!$G$15="",0,IF($B441&lt;'信用保険料計算書（上限2000万）'!$G$15,0,IF($B441&gt;'信用保険料計算書（上限2000万）'!$G$16,0,1)))</f>
        <v>0</v>
      </c>
      <c r="G441" s="209">
        <f>IF(F441=1,HLOOKUP(C441,'計算書（第2回）'!$C$123:$U$124,2,TRUE),0)</f>
        <v>0</v>
      </c>
      <c r="H441" s="209">
        <f>IF('信用保険料計算書（上限2000万）'!$I$15="",0,IF($B441&lt;'信用保険料計算書（上限2000万）'!$I$15,0,IF($B441&gt;'信用保険料計算書（上限2000万）'!$I$16,0,1)))</f>
        <v>0</v>
      </c>
      <c r="I441" s="209">
        <f>IF(H441=1,HLOOKUP(C441,'計算書（第3回）'!$C$123:$U$124,2,TRUE),0)</f>
        <v>0</v>
      </c>
      <c r="J441" s="209">
        <f>IF('信用保険料計算書（上限2000万）'!$K$15="",0,IF($B441&lt;'信用保険料計算書（上限2000万）'!$K$15,0,IF($B441&gt;'信用保険料計算書（上限2000万）'!$K$16,0,1)))</f>
        <v>0</v>
      </c>
      <c r="K441" s="209">
        <f>IF(J441=1,HLOOKUP(C441,'計算書（第4回）'!$C$123:$U$124,2,TRUE),0)</f>
        <v>0</v>
      </c>
      <c r="L441" s="209">
        <f>IF('信用保険料計算書（上限2000万）'!$M$15="",0,IF($B441&lt;'信用保険料計算書（上限2000万）'!$M$15,0,IF($B441&gt;'信用保険料計算書（上限2000万）'!$M$16,0,1)))</f>
        <v>0</v>
      </c>
      <c r="M441" s="209">
        <f>IF(L441=1,HLOOKUP(C441,'計算書（第5回）'!$C$123:$U$124,2,TRUE),0)</f>
        <v>0</v>
      </c>
      <c r="N441" s="209">
        <f>IF('信用保険料計算書（上限2000万）'!$O$15="",0,IF($B441&lt;'信用保険料計算書（上限2000万）'!$O$15,0,IF($B441&gt;'信用保険料計算書（上限2000万）'!$O$16,0,1)))</f>
        <v>0</v>
      </c>
      <c r="O441" s="209">
        <f>IF(N441=1,HLOOKUP(C441,'計算書（第6回）'!$C$123:$U$124,2,TRUE),0)</f>
        <v>0</v>
      </c>
      <c r="P441" s="209">
        <f>IF('信用保険料計算書（上限2000万）'!$Q$15="",0,IF($B441&lt;'信用保険料計算書（上限2000万）'!$Q$15,0,IF($B441&gt;'信用保険料計算書（上限2000万）'!$Q$16,0,1)))</f>
        <v>0</v>
      </c>
      <c r="Q441" s="209">
        <f>IF(P441=1,HLOOKUP(C441,'計算書（第7回）'!$C$123:$U$124,2,TRUE),0)</f>
        <v>0</v>
      </c>
      <c r="R441" s="213"/>
      <c r="S441" s="211">
        <f>COUNTIF($AB$13:$AB$19,"&lt;=2031/10/1")</f>
        <v>2</v>
      </c>
      <c r="T441" s="178">
        <f t="shared" si="51"/>
        <v>44743</v>
      </c>
      <c r="U441" s="181">
        <f t="shared" si="48"/>
        <v>0</v>
      </c>
      <c r="V441" s="182">
        <f t="shared" si="56"/>
        <v>0</v>
      </c>
      <c r="W441" s="245">
        <f t="shared" si="52"/>
        <v>0</v>
      </c>
      <c r="X441" s="182"/>
    </row>
    <row r="442" spans="2:24">
      <c r="B442" s="214">
        <f t="shared" si="50"/>
        <v>53997</v>
      </c>
      <c r="C442" s="198">
        <f t="shared" si="47"/>
        <v>53966</v>
      </c>
      <c r="D442" s="209">
        <f>IF(B442&lt;'信用保険料計算書（上限2000万）'!$E$15,0,IF(B442&gt;'信用保険料計算書（上限2000万）'!$E$16,0,1))</f>
        <v>0</v>
      </c>
      <c r="E442" s="209">
        <f>IF(D442=1,HLOOKUP(C442,'計算書（第1回）'!$C$123:$U$124,2,TRUE),0)</f>
        <v>0</v>
      </c>
      <c r="F442" s="209">
        <f>IF('信用保険料計算書（上限2000万）'!$G$15="",0,IF($B442&lt;'信用保険料計算書（上限2000万）'!$G$15,0,IF($B442&gt;'信用保険料計算書（上限2000万）'!$G$16,0,1)))</f>
        <v>0</v>
      </c>
      <c r="G442" s="209">
        <f>IF(F442=1,HLOOKUP(C442,'計算書（第2回）'!$C$123:$U$124,2,TRUE),0)</f>
        <v>0</v>
      </c>
      <c r="H442" s="209">
        <f>IF('信用保険料計算書（上限2000万）'!$I$15="",0,IF($B442&lt;'信用保険料計算書（上限2000万）'!$I$15,0,IF($B442&gt;'信用保険料計算書（上限2000万）'!$I$16,0,1)))</f>
        <v>0</v>
      </c>
      <c r="I442" s="209">
        <f>IF(H442=1,HLOOKUP(C442,'計算書（第3回）'!$C$123:$U$124,2,TRUE),0)</f>
        <v>0</v>
      </c>
      <c r="J442" s="209">
        <f>IF('信用保険料計算書（上限2000万）'!$K$15="",0,IF($B442&lt;'信用保険料計算書（上限2000万）'!$K$15,0,IF($B442&gt;'信用保険料計算書（上限2000万）'!$K$16,0,1)))</f>
        <v>0</v>
      </c>
      <c r="K442" s="209">
        <f>IF(J442=1,HLOOKUP(C442,'計算書（第4回）'!$C$123:$U$124,2,TRUE),0)</f>
        <v>0</v>
      </c>
      <c r="L442" s="209">
        <f>IF('信用保険料計算書（上限2000万）'!$M$15="",0,IF($B442&lt;'信用保険料計算書（上限2000万）'!$M$15,0,IF($B442&gt;'信用保険料計算書（上限2000万）'!$M$16,0,1)))</f>
        <v>0</v>
      </c>
      <c r="M442" s="209">
        <f>IF(L442=1,HLOOKUP(C442,'計算書（第5回）'!$C$123:$U$124,2,TRUE),0)</f>
        <v>0</v>
      </c>
      <c r="N442" s="209">
        <f>IF('信用保険料計算書（上限2000万）'!$O$15="",0,IF($B442&lt;'信用保険料計算書（上限2000万）'!$O$15,0,IF($B442&gt;'信用保険料計算書（上限2000万）'!$O$16,0,1)))</f>
        <v>0</v>
      </c>
      <c r="O442" s="209">
        <f>IF(N442=1,HLOOKUP(C442,'計算書（第6回）'!$C$123:$U$124,2,TRUE),0)</f>
        <v>0</v>
      </c>
      <c r="P442" s="209">
        <f>IF('信用保険料計算書（上限2000万）'!$Q$15="",0,IF($B442&lt;'信用保険料計算書（上限2000万）'!$Q$15,0,IF($B442&gt;'信用保険料計算書（上限2000万）'!$Q$16,0,1)))</f>
        <v>0</v>
      </c>
      <c r="Q442" s="209">
        <f>IF(P442=1,HLOOKUP(C442,'計算書（第7回）'!$C$123:$U$124,2,TRUE),0)</f>
        <v>0</v>
      </c>
      <c r="R442" s="213"/>
      <c r="S442" s="211">
        <f>COUNTIF($AB$13:$AB$19,"&lt;=2031/11/1")</f>
        <v>2</v>
      </c>
      <c r="T442" s="178">
        <f t="shared" si="51"/>
        <v>44743</v>
      </c>
      <c r="U442" s="181">
        <f t="shared" si="48"/>
        <v>0</v>
      </c>
      <c r="V442" s="182">
        <f t="shared" si="56"/>
        <v>0</v>
      </c>
      <c r="W442" s="245">
        <f t="shared" si="52"/>
        <v>0</v>
      </c>
      <c r="X442" s="182"/>
    </row>
    <row r="443" spans="2:24">
      <c r="B443" s="214">
        <f t="shared" si="50"/>
        <v>54027</v>
      </c>
      <c r="C443" s="198">
        <f t="shared" si="47"/>
        <v>53997</v>
      </c>
      <c r="D443" s="209">
        <f>IF(B443&lt;'信用保険料計算書（上限2000万）'!$E$15,0,IF(B443&gt;'信用保険料計算書（上限2000万）'!$E$16,0,1))</f>
        <v>0</v>
      </c>
      <c r="E443" s="209">
        <f>IF(D443=1,HLOOKUP(C443,'計算書（第1回）'!$C$123:$U$124,2,TRUE),0)</f>
        <v>0</v>
      </c>
      <c r="F443" s="209">
        <f>IF('信用保険料計算書（上限2000万）'!$G$15="",0,IF($B443&lt;'信用保険料計算書（上限2000万）'!$G$15,0,IF($B443&gt;'信用保険料計算書（上限2000万）'!$G$16,0,1)))</f>
        <v>0</v>
      </c>
      <c r="G443" s="209">
        <f>IF(F443=1,HLOOKUP(C443,'計算書（第2回）'!$C$123:$U$124,2,TRUE),0)</f>
        <v>0</v>
      </c>
      <c r="H443" s="209">
        <f>IF('信用保険料計算書（上限2000万）'!$I$15="",0,IF($B443&lt;'信用保険料計算書（上限2000万）'!$I$15,0,IF($B443&gt;'信用保険料計算書（上限2000万）'!$I$16,0,1)))</f>
        <v>0</v>
      </c>
      <c r="I443" s="209">
        <f>IF(H443=1,HLOOKUP(C443,'計算書（第3回）'!$C$123:$U$124,2,TRUE),0)</f>
        <v>0</v>
      </c>
      <c r="J443" s="209">
        <f>IF('信用保険料計算書（上限2000万）'!$K$15="",0,IF($B443&lt;'信用保険料計算書（上限2000万）'!$K$15,0,IF($B443&gt;'信用保険料計算書（上限2000万）'!$K$16,0,1)))</f>
        <v>0</v>
      </c>
      <c r="K443" s="209">
        <f>IF(J443=1,HLOOKUP(C443,'計算書（第4回）'!$C$123:$U$124,2,TRUE),0)</f>
        <v>0</v>
      </c>
      <c r="L443" s="209">
        <f>IF('信用保険料計算書（上限2000万）'!$M$15="",0,IF($B443&lt;'信用保険料計算書（上限2000万）'!$M$15,0,IF($B443&gt;'信用保険料計算書（上限2000万）'!$M$16,0,1)))</f>
        <v>0</v>
      </c>
      <c r="M443" s="209">
        <f>IF(L443=1,HLOOKUP(C443,'計算書（第5回）'!$C$123:$U$124,2,TRUE),0)</f>
        <v>0</v>
      </c>
      <c r="N443" s="209">
        <f>IF('信用保険料計算書（上限2000万）'!$O$15="",0,IF($B443&lt;'信用保険料計算書（上限2000万）'!$O$15,0,IF($B443&gt;'信用保険料計算書（上限2000万）'!$O$16,0,1)))</f>
        <v>0</v>
      </c>
      <c r="O443" s="209">
        <f>IF(N443=1,HLOOKUP(C443,'計算書（第6回）'!$C$123:$U$124,2,TRUE),0)</f>
        <v>0</v>
      </c>
      <c r="P443" s="209">
        <f>IF('信用保険料計算書（上限2000万）'!$Q$15="",0,IF($B443&lt;'信用保険料計算書（上限2000万）'!$Q$15,0,IF($B443&gt;'信用保険料計算書（上限2000万）'!$Q$16,0,1)))</f>
        <v>0</v>
      </c>
      <c r="Q443" s="209">
        <f>IF(P443=1,HLOOKUP(C443,'計算書（第7回）'!$C$123:$U$124,2,TRUE),0)</f>
        <v>0</v>
      </c>
      <c r="R443" s="213"/>
      <c r="S443" s="211">
        <f>COUNTIF($AB$13:$AB$19,"&lt;=2031/12/1")</f>
        <v>2</v>
      </c>
      <c r="T443" s="178">
        <f t="shared" si="51"/>
        <v>44743</v>
      </c>
      <c r="U443" s="181">
        <f t="shared" si="48"/>
        <v>0</v>
      </c>
      <c r="V443" s="182">
        <f t="shared" si="56"/>
        <v>0</v>
      </c>
      <c r="W443" s="245">
        <f t="shared" si="52"/>
        <v>0</v>
      </c>
      <c r="X443" s="182"/>
    </row>
    <row r="444" spans="2:24">
      <c r="B444" s="214">
        <f t="shared" si="50"/>
        <v>54058</v>
      </c>
      <c r="C444" s="198">
        <f t="shared" si="47"/>
        <v>54027</v>
      </c>
      <c r="D444" s="209">
        <f>IF(B444&lt;'信用保険料計算書（上限2000万）'!$E$15,0,IF(B444&gt;'信用保険料計算書（上限2000万）'!$E$16,0,1))</f>
        <v>0</v>
      </c>
      <c r="E444" s="209">
        <f>IF(D444=1,HLOOKUP(C444,'計算書（第1回）'!$C$123:$U$124,2,TRUE),0)</f>
        <v>0</v>
      </c>
      <c r="F444" s="209">
        <f>IF('信用保険料計算書（上限2000万）'!$G$15="",0,IF($B444&lt;'信用保険料計算書（上限2000万）'!$G$15,0,IF($B444&gt;'信用保険料計算書（上限2000万）'!$G$16,0,1)))</f>
        <v>0</v>
      </c>
      <c r="G444" s="209">
        <f>IF(F444=1,HLOOKUP(C444,'計算書（第2回）'!$C$123:$U$124,2,TRUE),0)</f>
        <v>0</v>
      </c>
      <c r="H444" s="209">
        <f>IF('信用保険料計算書（上限2000万）'!$I$15="",0,IF($B444&lt;'信用保険料計算書（上限2000万）'!$I$15,0,IF($B444&gt;'信用保険料計算書（上限2000万）'!$I$16,0,1)))</f>
        <v>0</v>
      </c>
      <c r="I444" s="209">
        <f>IF(H444=1,HLOOKUP(C444,'計算書（第3回）'!$C$123:$U$124,2,TRUE),0)</f>
        <v>0</v>
      </c>
      <c r="J444" s="209">
        <f>IF('信用保険料計算書（上限2000万）'!$K$15="",0,IF($B444&lt;'信用保険料計算書（上限2000万）'!$K$15,0,IF($B444&gt;'信用保険料計算書（上限2000万）'!$K$16,0,1)))</f>
        <v>0</v>
      </c>
      <c r="K444" s="209">
        <f>IF(J444=1,HLOOKUP(C444,'計算書（第4回）'!$C$123:$U$124,2,TRUE),0)</f>
        <v>0</v>
      </c>
      <c r="L444" s="209">
        <f>IF('信用保険料計算書（上限2000万）'!$M$15="",0,IF($B444&lt;'信用保険料計算書（上限2000万）'!$M$15,0,IF($B444&gt;'信用保険料計算書（上限2000万）'!$M$16,0,1)))</f>
        <v>0</v>
      </c>
      <c r="M444" s="209">
        <f>IF(L444=1,HLOOKUP(C444,'計算書（第5回）'!$C$123:$U$124,2,TRUE),0)</f>
        <v>0</v>
      </c>
      <c r="N444" s="209">
        <f>IF('信用保険料計算書（上限2000万）'!$O$15="",0,IF($B444&lt;'信用保険料計算書（上限2000万）'!$O$15,0,IF($B444&gt;'信用保険料計算書（上限2000万）'!$O$16,0,1)))</f>
        <v>0</v>
      </c>
      <c r="O444" s="209">
        <f>IF(N444=1,HLOOKUP(C444,'計算書（第6回）'!$C$123:$U$124,2,TRUE),0)</f>
        <v>0</v>
      </c>
      <c r="P444" s="209">
        <f>IF('信用保険料計算書（上限2000万）'!$Q$15="",0,IF($B444&lt;'信用保険料計算書（上限2000万）'!$Q$15,0,IF($B444&gt;'信用保険料計算書（上限2000万）'!$Q$16,0,1)))</f>
        <v>0</v>
      </c>
      <c r="Q444" s="209">
        <f>IF(P444=1,HLOOKUP(C444,'計算書（第7回）'!$C$123:$U$124,2,TRUE),0)</f>
        <v>0</v>
      </c>
      <c r="R444" s="212"/>
      <c r="S444" s="211">
        <f>COUNTIF($AB$13:$AB$19,"&lt;=2032/1/1")</f>
        <v>2</v>
      </c>
      <c r="T444" s="178">
        <f t="shared" si="51"/>
        <v>44743</v>
      </c>
      <c r="U444" s="181">
        <f t="shared" si="48"/>
        <v>0</v>
      </c>
      <c r="V444" s="182">
        <f t="shared" si="56"/>
        <v>0</v>
      </c>
      <c r="W444" s="245">
        <f t="shared" si="52"/>
        <v>0</v>
      </c>
      <c r="X444" s="182"/>
    </row>
    <row r="445" spans="2:24">
      <c r="B445" s="214">
        <f t="shared" si="50"/>
        <v>54089</v>
      </c>
      <c r="C445" s="198">
        <f t="shared" si="47"/>
        <v>54058</v>
      </c>
      <c r="D445" s="209">
        <f>IF(B445&lt;'信用保険料計算書（上限2000万）'!$E$15,0,IF(B445&gt;'信用保険料計算書（上限2000万）'!$E$16,0,1))</f>
        <v>0</v>
      </c>
      <c r="E445" s="209">
        <f>IF(D445=1,HLOOKUP(C445,'計算書（第1回）'!$C$123:$U$124,2,TRUE),0)</f>
        <v>0</v>
      </c>
      <c r="F445" s="209">
        <f>IF('信用保険料計算書（上限2000万）'!$G$15="",0,IF($B445&lt;'信用保険料計算書（上限2000万）'!$G$15,0,IF($B445&gt;'信用保険料計算書（上限2000万）'!$G$16,0,1)))</f>
        <v>0</v>
      </c>
      <c r="G445" s="209">
        <f>IF(F445=1,HLOOKUP(C445,'計算書（第2回）'!$C$123:$U$124,2,TRUE),0)</f>
        <v>0</v>
      </c>
      <c r="H445" s="209">
        <f>IF('信用保険料計算書（上限2000万）'!$I$15="",0,IF($B445&lt;'信用保険料計算書（上限2000万）'!$I$15,0,IF($B445&gt;'信用保険料計算書（上限2000万）'!$I$16,0,1)))</f>
        <v>0</v>
      </c>
      <c r="I445" s="209">
        <f>IF(H445=1,HLOOKUP(C445,'計算書（第3回）'!$C$123:$U$124,2,TRUE),0)</f>
        <v>0</v>
      </c>
      <c r="J445" s="209">
        <f>IF('信用保険料計算書（上限2000万）'!$K$15="",0,IF($B445&lt;'信用保険料計算書（上限2000万）'!$K$15,0,IF($B445&gt;'信用保険料計算書（上限2000万）'!$K$16,0,1)))</f>
        <v>0</v>
      </c>
      <c r="K445" s="209">
        <f>IF(J445=1,HLOOKUP(C445,'計算書（第4回）'!$C$123:$U$124,2,TRUE),0)</f>
        <v>0</v>
      </c>
      <c r="L445" s="209">
        <f>IF('信用保険料計算書（上限2000万）'!$M$15="",0,IF($B445&lt;'信用保険料計算書（上限2000万）'!$M$15,0,IF($B445&gt;'信用保険料計算書（上限2000万）'!$M$16,0,1)))</f>
        <v>0</v>
      </c>
      <c r="M445" s="209">
        <f>IF(L445=1,HLOOKUP(C445,'計算書（第5回）'!$C$123:$U$124,2,TRUE),0)</f>
        <v>0</v>
      </c>
      <c r="N445" s="209">
        <f>IF('信用保険料計算書（上限2000万）'!$O$15="",0,IF($B445&lt;'信用保険料計算書（上限2000万）'!$O$15,0,IF($B445&gt;'信用保険料計算書（上限2000万）'!$O$16,0,1)))</f>
        <v>0</v>
      </c>
      <c r="O445" s="209">
        <f>IF(N445=1,HLOOKUP(C445,'計算書（第6回）'!$C$123:$U$124,2,TRUE),0)</f>
        <v>0</v>
      </c>
      <c r="P445" s="209">
        <f>IF('信用保険料計算書（上限2000万）'!$Q$15="",0,IF($B445&lt;'信用保険料計算書（上限2000万）'!$Q$15,0,IF($B445&gt;'信用保険料計算書（上限2000万）'!$Q$16,0,1)))</f>
        <v>0</v>
      </c>
      <c r="Q445" s="209">
        <f>IF(P445=1,HLOOKUP(C445,'計算書（第7回）'!$C$123:$U$124,2,TRUE),0)</f>
        <v>0</v>
      </c>
      <c r="R445" s="212"/>
      <c r="S445" s="211">
        <f>COUNTIF($AB$13:$AB$19,"&lt;=2032/2/1")</f>
        <v>2</v>
      </c>
      <c r="T445" s="178">
        <f t="shared" si="51"/>
        <v>44743</v>
      </c>
      <c r="U445" s="181">
        <f t="shared" si="48"/>
        <v>0</v>
      </c>
      <c r="V445" s="182">
        <f t="shared" si="56"/>
        <v>0</v>
      </c>
      <c r="W445" s="245">
        <f t="shared" si="52"/>
        <v>0</v>
      </c>
      <c r="X445" s="182"/>
    </row>
    <row r="446" spans="2:24">
      <c r="B446" s="214">
        <f t="shared" si="50"/>
        <v>54118</v>
      </c>
      <c r="C446" s="198">
        <f t="shared" si="47"/>
        <v>54089</v>
      </c>
      <c r="D446" s="209">
        <f>IF(B446&lt;'信用保険料計算書（上限2000万）'!$E$15,0,IF(B446&gt;'信用保険料計算書（上限2000万）'!$E$16,0,1))</f>
        <v>0</v>
      </c>
      <c r="E446" s="209">
        <f>IF(D446=1,HLOOKUP(C446,'計算書（第1回）'!$C$123:$U$124,2,TRUE),0)</f>
        <v>0</v>
      </c>
      <c r="F446" s="209">
        <f>IF('信用保険料計算書（上限2000万）'!$G$15="",0,IF($B446&lt;'信用保険料計算書（上限2000万）'!$G$15,0,IF($B446&gt;'信用保険料計算書（上限2000万）'!$G$16,0,1)))</f>
        <v>0</v>
      </c>
      <c r="G446" s="209">
        <f>IF(F446=1,HLOOKUP(C446,'計算書（第2回）'!$C$123:$U$124,2,TRUE),0)</f>
        <v>0</v>
      </c>
      <c r="H446" s="209">
        <f>IF('信用保険料計算書（上限2000万）'!$I$15="",0,IF($B446&lt;'信用保険料計算書（上限2000万）'!$I$15,0,IF($B446&gt;'信用保険料計算書（上限2000万）'!$I$16,0,1)))</f>
        <v>0</v>
      </c>
      <c r="I446" s="209">
        <f>IF(H446=1,HLOOKUP(C446,'計算書（第3回）'!$C$123:$U$124,2,TRUE),0)</f>
        <v>0</v>
      </c>
      <c r="J446" s="209">
        <f>IF('信用保険料計算書（上限2000万）'!$K$15="",0,IF($B446&lt;'信用保険料計算書（上限2000万）'!$K$15,0,IF($B446&gt;'信用保険料計算書（上限2000万）'!$K$16,0,1)))</f>
        <v>0</v>
      </c>
      <c r="K446" s="209">
        <f>IF(J446=1,HLOOKUP(C446,'計算書（第4回）'!$C$123:$U$124,2,TRUE),0)</f>
        <v>0</v>
      </c>
      <c r="L446" s="209">
        <f>IF('信用保険料計算書（上限2000万）'!$M$15="",0,IF($B446&lt;'信用保険料計算書（上限2000万）'!$M$15,0,IF($B446&gt;'信用保険料計算書（上限2000万）'!$M$16,0,1)))</f>
        <v>0</v>
      </c>
      <c r="M446" s="209">
        <f>IF(L446=1,HLOOKUP(C446,'計算書（第5回）'!$C$123:$U$124,2,TRUE),0)</f>
        <v>0</v>
      </c>
      <c r="N446" s="209">
        <f>IF('信用保険料計算書（上限2000万）'!$O$15="",0,IF($B446&lt;'信用保険料計算書（上限2000万）'!$O$15,0,IF($B446&gt;'信用保険料計算書（上限2000万）'!$O$16,0,1)))</f>
        <v>0</v>
      </c>
      <c r="O446" s="209">
        <f>IF(N446=1,HLOOKUP(C446,'計算書（第6回）'!$C$123:$U$124,2,TRUE),0)</f>
        <v>0</v>
      </c>
      <c r="P446" s="209">
        <f>IF('信用保険料計算書（上限2000万）'!$Q$15="",0,IF($B446&lt;'信用保険料計算書（上限2000万）'!$Q$15,0,IF($B446&gt;'信用保険料計算書（上限2000万）'!$Q$16,0,1)))</f>
        <v>0</v>
      </c>
      <c r="Q446" s="209">
        <f>IF(P446=1,HLOOKUP(C446,'計算書（第7回）'!$C$123:$U$124,2,TRUE),0)</f>
        <v>0</v>
      </c>
      <c r="R446" s="212"/>
      <c r="S446" s="211">
        <f>COUNTIF($AB$13:$AB$19,"&lt;=2032/3/1")</f>
        <v>2</v>
      </c>
      <c r="T446" s="178">
        <f t="shared" si="51"/>
        <v>44743</v>
      </c>
      <c r="U446" s="181">
        <f t="shared" si="48"/>
        <v>0</v>
      </c>
      <c r="V446" s="182">
        <f t="shared" si="56"/>
        <v>0</v>
      </c>
      <c r="W446" s="245">
        <f t="shared" si="52"/>
        <v>0</v>
      </c>
      <c r="X446" s="183">
        <f>INT(SUM(W441:W446))</f>
        <v>0</v>
      </c>
    </row>
    <row r="447" spans="2:24">
      <c r="B447" s="214">
        <f>EDATE(B446,1)</f>
        <v>54149</v>
      </c>
      <c r="C447" s="198">
        <f t="shared" si="47"/>
        <v>54118</v>
      </c>
      <c r="D447" s="209">
        <f>IF(B447&lt;'信用保険料計算書（上限2000万）'!$E$15,0,IF(B447&gt;'信用保険料計算書（上限2000万）'!$E$16,0,1))</f>
        <v>0</v>
      </c>
      <c r="E447" s="209">
        <f>IF(D447=1,HLOOKUP(C447,'計算書（第1回）'!$C$123:$U$124,2,TRUE),0)</f>
        <v>0</v>
      </c>
      <c r="F447" s="209">
        <f>IF('信用保険料計算書（上限2000万）'!$G$15="",0,IF($B447&lt;'信用保険料計算書（上限2000万）'!$G$15,0,IF($B447&gt;'信用保険料計算書（上限2000万）'!$G$16,0,1)))</f>
        <v>0</v>
      </c>
      <c r="G447" s="209">
        <f>IF(F447=1,HLOOKUP(C447,'計算書（第2回）'!$C$123:$U$124,2,TRUE),0)</f>
        <v>0</v>
      </c>
      <c r="H447" s="209">
        <f>IF('信用保険料計算書（上限2000万）'!$I$15="",0,IF($B447&lt;'信用保険料計算書（上限2000万）'!$I$15,0,IF($B447&gt;'信用保険料計算書（上限2000万）'!$I$16,0,1)))</f>
        <v>0</v>
      </c>
      <c r="I447" s="209">
        <f>IF(H447=1,HLOOKUP(C447,'計算書（第3回）'!$C$123:$U$124,2,TRUE),0)</f>
        <v>0</v>
      </c>
      <c r="J447" s="209">
        <f>IF('信用保険料計算書（上限2000万）'!$K$15="",0,IF($B447&lt;'信用保険料計算書（上限2000万）'!$K$15,0,IF($B447&gt;'信用保険料計算書（上限2000万）'!$K$16,0,1)))</f>
        <v>0</v>
      </c>
      <c r="K447" s="209">
        <f>IF(J447=1,HLOOKUP(C447,'計算書（第4回）'!$C$123:$U$124,2,TRUE),0)</f>
        <v>0</v>
      </c>
      <c r="L447" s="209">
        <f>IF('信用保険料計算書（上限2000万）'!$M$15="",0,IF($B447&lt;'信用保険料計算書（上限2000万）'!$M$15,0,IF($B447&gt;'信用保険料計算書（上限2000万）'!$M$16,0,1)))</f>
        <v>0</v>
      </c>
      <c r="M447" s="209">
        <f>IF(L447=1,HLOOKUP(C447,'計算書（第5回）'!$C$123:$U$124,2,TRUE),0)</f>
        <v>0</v>
      </c>
      <c r="N447" s="209">
        <f>IF('信用保険料計算書（上限2000万）'!$O$15="",0,IF($B447&lt;'信用保険料計算書（上限2000万）'!$O$15,0,IF($B447&gt;'信用保険料計算書（上限2000万）'!$O$16,0,1)))</f>
        <v>0</v>
      </c>
      <c r="O447" s="209">
        <f>IF(N447=1,HLOOKUP(C447,'計算書（第6回）'!$C$123:$U$124,2,TRUE),0)</f>
        <v>0</v>
      </c>
      <c r="P447" s="209">
        <f>IF('信用保険料計算書（上限2000万）'!$Q$15="",0,IF($B447&lt;'信用保険料計算書（上限2000万）'!$Q$15,0,IF($B447&gt;'信用保険料計算書（上限2000万）'!$Q$16,0,1)))</f>
        <v>0</v>
      </c>
      <c r="Q447" s="209">
        <f>IF(P447=1,HLOOKUP(C447,'計算書（第7回）'!$C$123:$U$124,2,TRUE),0)</f>
        <v>0</v>
      </c>
      <c r="R447" s="213"/>
      <c r="S447" s="211">
        <f>COUNTIF($AB$13:$AB$19,"&lt;=2031/4/1")</f>
        <v>2</v>
      </c>
      <c r="T447" s="178">
        <f t="shared" ref="T447:T458" si="57">IF(S447="","",SMALL($AB$13:$AB$19,$S447))</f>
        <v>44743</v>
      </c>
      <c r="U447" s="181">
        <f t="shared" ref="U447:U458" si="58">E447+G447+I447+K447+M447+O447+Q447</f>
        <v>0</v>
      </c>
      <c r="V447" s="182">
        <f t="shared" si="56"/>
        <v>0</v>
      </c>
      <c r="W447" s="245">
        <f t="shared" si="52"/>
        <v>0</v>
      </c>
      <c r="X447" s="182"/>
    </row>
    <row r="448" spans="2:24">
      <c r="B448" s="214">
        <f t="shared" ref="B448:B458" si="59">EDATE(B447,1)</f>
        <v>54179</v>
      </c>
      <c r="C448" s="198">
        <f t="shared" si="47"/>
        <v>54149</v>
      </c>
      <c r="D448" s="209">
        <f>IF(B448&lt;'信用保険料計算書（上限2000万）'!$E$15,0,IF(B448&gt;'信用保険料計算書（上限2000万）'!$E$16,0,1))</f>
        <v>0</v>
      </c>
      <c r="E448" s="209">
        <f>IF(D448=1,HLOOKUP(C448,'計算書（第1回）'!$C$123:$U$124,2,TRUE),0)</f>
        <v>0</v>
      </c>
      <c r="F448" s="209">
        <f>IF('信用保険料計算書（上限2000万）'!$G$15="",0,IF($B448&lt;'信用保険料計算書（上限2000万）'!$G$15,0,IF($B448&gt;'信用保険料計算書（上限2000万）'!$G$16,0,1)))</f>
        <v>0</v>
      </c>
      <c r="G448" s="209">
        <f>IF(F448=1,HLOOKUP(C448,'計算書（第2回）'!$C$123:$U$124,2,TRUE),0)</f>
        <v>0</v>
      </c>
      <c r="H448" s="209">
        <f>IF('信用保険料計算書（上限2000万）'!$I$15="",0,IF($B448&lt;'信用保険料計算書（上限2000万）'!$I$15,0,IF($B448&gt;'信用保険料計算書（上限2000万）'!$I$16,0,1)))</f>
        <v>0</v>
      </c>
      <c r="I448" s="209">
        <f>IF(H448=1,HLOOKUP(C448,'計算書（第3回）'!$C$123:$U$124,2,TRUE),0)</f>
        <v>0</v>
      </c>
      <c r="J448" s="209">
        <f>IF('信用保険料計算書（上限2000万）'!$K$15="",0,IF($B448&lt;'信用保険料計算書（上限2000万）'!$K$15,0,IF($B448&gt;'信用保険料計算書（上限2000万）'!$K$16,0,1)))</f>
        <v>0</v>
      </c>
      <c r="K448" s="209">
        <f>IF(J448=1,HLOOKUP(C448,'計算書（第4回）'!$C$123:$U$124,2,TRUE),0)</f>
        <v>0</v>
      </c>
      <c r="L448" s="209">
        <f>IF('信用保険料計算書（上限2000万）'!$M$15="",0,IF($B448&lt;'信用保険料計算書（上限2000万）'!$M$15,0,IF($B448&gt;'信用保険料計算書（上限2000万）'!$M$16,0,1)))</f>
        <v>0</v>
      </c>
      <c r="M448" s="209">
        <f>IF(L448=1,HLOOKUP(C448,'計算書（第5回）'!$C$123:$U$124,2,TRUE),0)</f>
        <v>0</v>
      </c>
      <c r="N448" s="209">
        <f>IF('信用保険料計算書（上限2000万）'!$O$15="",0,IF($B448&lt;'信用保険料計算書（上限2000万）'!$O$15,0,IF($B448&gt;'信用保険料計算書（上限2000万）'!$O$16,0,1)))</f>
        <v>0</v>
      </c>
      <c r="O448" s="209">
        <f>IF(N448=1,HLOOKUP(C448,'計算書（第6回）'!$C$123:$U$124,2,TRUE),0)</f>
        <v>0</v>
      </c>
      <c r="P448" s="209">
        <f>IF('信用保険料計算書（上限2000万）'!$Q$15="",0,IF($B448&lt;'信用保険料計算書（上限2000万）'!$Q$15,0,IF($B448&gt;'信用保険料計算書（上限2000万）'!$Q$16,0,1)))</f>
        <v>0</v>
      </c>
      <c r="Q448" s="209">
        <f>IF(P448=1,HLOOKUP(C448,'計算書（第7回）'!$C$123:$U$124,2,TRUE),0)</f>
        <v>0</v>
      </c>
      <c r="R448" s="213"/>
      <c r="S448" s="211">
        <f>COUNTIF($AB$13:$AB$19,"&lt;=2031/5/1")</f>
        <v>2</v>
      </c>
      <c r="T448" s="178">
        <f t="shared" si="57"/>
        <v>44743</v>
      </c>
      <c r="U448" s="181">
        <f t="shared" si="58"/>
        <v>0</v>
      </c>
      <c r="V448" s="182">
        <f t="shared" si="56"/>
        <v>0</v>
      </c>
      <c r="W448" s="245">
        <f t="shared" si="52"/>
        <v>0</v>
      </c>
      <c r="X448" s="182"/>
    </row>
    <row r="449" spans="2:24">
      <c r="B449" s="214">
        <f t="shared" si="59"/>
        <v>54210</v>
      </c>
      <c r="C449" s="198">
        <f t="shared" si="47"/>
        <v>54179</v>
      </c>
      <c r="D449" s="209">
        <f>IF(B449&lt;'信用保険料計算書（上限2000万）'!$E$15,0,IF(B449&gt;'信用保険料計算書（上限2000万）'!$E$16,0,1))</f>
        <v>0</v>
      </c>
      <c r="E449" s="209">
        <f>IF(D449=1,HLOOKUP(C449,'計算書（第1回）'!$C$123:$U$124,2,TRUE),0)</f>
        <v>0</v>
      </c>
      <c r="F449" s="209">
        <f>IF('信用保険料計算書（上限2000万）'!$G$15="",0,IF($B449&lt;'信用保険料計算書（上限2000万）'!$G$15,0,IF($B449&gt;'信用保険料計算書（上限2000万）'!$G$16,0,1)))</f>
        <v>0</v>
      </c>
      <c r="G449" s="209">
        <f>IF(F449=1,HLOOKUP(C449,'計算書（第2回）'!$C$123:$U$124,2,TRUE),0)</f>
        <v>0</v>
      </c>
      <c r="H449" s="209">
        <f>IF('信用保険料計算書（上限2000万）'!$I$15="",0,IF($B449&lt;'信用保険料計算書（上限2000万）'!$I$15,0,IF($B449&gt;'信用保険料計算書（上限2000万）'!$I$16,0,1)))</f>
        <v>0</v>
      </c>
      <c r="I449" s="209">
        <f>IF(H449=1,HLOOKUP(C449,'計算書（第3回）'!$C$123:$U$124,2,TRUE),0)</f>
        <v>0</v>
      </c>
      <c r="J449" s="209">
        <f>IF('信用保険料計算書（上限2000万）'!$K$15="",0,IF($B449&lt;'信用保険料計算書（上限2000万）'!$K$15,0,IF($B449&gt;'信用保険料計算書（上限2000万）'!$K$16,0,1)))</f>
        <v>0</v>
      </c>
      <c r="K449" s="209">
        <f>IF(J449=1,HLOOKUP(C449,'計算書（第4回）'!$C$123:$U$124,2,TRUE),0)</f>
        <v>0</v>
      </c>
      <c r="L449" s="209">
        <f>IF('信用保険料計算書（上限2000万）'!$M$15="",0,IF($B449&lt;'信用保険料計算書（上限2000万）'!$M$15,0,IF($B449&gt;'信用保険料計算書（上限2000万）'!$M$16,0,1)))</f>
        <v>0</v>
      </c>
      <c r="M449" s="209">
        <f>IF(L449=1,HLOOKUP(C449,'計算書（第5回）'!$C$123:$U$124,2,TRUE),0)</f>
        <v>0</v>
      </c>
      <c r="N449" s="209">
        <f>IF('信用保険料計算書（上限2000万）'!$O$15="",0,IF($B449&lt;'信用保険料計算書（上限2000万）'!$O$15,0,IF($B449&gt;'信用保険料計算書（上限2000万）'!$O$16,0,1)))</f>
        <v>0</v>
      </c>
      <c r="O449" s="209">
        <f>IF(N449=1,HLOOKUP(C449,'計算書（第6回）'!$C$123:$U$124,2,TRUE),0)</f>
        <v>0</v>
      </c>
      <c r="P449" s="209">
        <f>IF('信用保険料計算書（上限2000万）'!$Q$15="",0,IF($B449&lt;'信用保険料計算書（上限2000万）'!$Q$15,0,IF($B449&gt;'信用保険料計算書（上限2000万）'!$Q$16,0,1)))</f>
        <v>0</v>
      </c>
      <c r="Q449" s="209">
        <f>IF(P449=1,HLOOKUP(C449,'計算書（第7回）'!$C$123:$U$124,2,TRUE),0)</f>
        <v>0</v>
      </c>
      <c r="R449" s="213"/>
      <c r="S449" s="211">
        <f>COUNTIF($AB$13:$AB$19,"&lt;=2031/6/1")</f>
        <v>2</v>
      </c>
      <c r="T449" s="178">
        <f t="shared" si="57"/>
        <v>44743</v>
      </c>
      <c r="U449" s="181">
        <f t="shared" si="58"/>
        <v>0</v>
      </c>
      <c r="V449" s="182">
        <f t="shared" si="56"/>
        <v>0</v>
      </c>
      <c r="W449" s="245">
        <f t="shared" si="52"/>
        <v>0</v>
      </c>
      <c r="X449" s="182"/>
    </row>
    <row r="450" spans="2:24">
      <c r="B450" s="214">
        <f t="shared" si="59"/>
        <v>54240</v>
      </c>
      <c r="C450" s="198">
        <f t="shared" si="47"/>
        <v>54210</v>
      </c>
      <c r="D450" s="209">
        <f>IF(B450&lt;'信用保険料計算書（上限2000万）'!$E$15,0,IF(B450&gt;'信用保険料計算書（上限2000万）'!$E$16,0,1))</f>
        <v>0</v>
      </c>
      <c r="E450" s="209">
        <f>IF(D450=1,HLOOKUP(C450,'計算書（第1回）'!$C$123:$U$124,2,TRUE),0)</f>
        <v>0</v>
      </c>
      <c r="F450" s="209">
        <f>IF('信用保険料計算書（上限2000万）'!$G$15="",0,IF($B450&lt;'信用保険料計算書（上限2000万）'!$G$15,0,IF($B450&gt;'信用保険料計算書（上限2000万）'!$G$16,0,1)))</f>
        <v>0</v>
      </c>
      <c r="G450" s="209">
        <f>IF(F450=1,HLOOKUP(C450,'計算書（第2回）'!$C$123:$U$124,2,TRUE),0)</f>
        <v>0</v>
      </c>
      <c r="H450" s="209">
        <f>IF('信用保険料計算書（上限2000万）'!$I$15="",0,IF($B450&lt;'信用保険料計算書（上限2000万）'!$I$15,0,IF($B450&gt;'信用保険料計算書（上限2000万）'!$I$16,0,1)))</f>
        <v>0</v>
      </c>
      <c r="I450" s="209">
        <f>IF(H450=1,HLOOKUP(C450,'計算書（第3回）'!$C$123:$U$124,2,TRUE),0)</f>
        <v>0</v>
      </c>
      <c r="J450" s="209">
        <f>IF('信用保険料計算書（上限2000万）'!$K$15="",0,IF($B450&lt;'信用保険料計算書（上限2000万）'!$K$15,0,IF($B450&gt;'信用保険料計算書（上限2000万）'!$K$16,0,1)))</f>
        <v>0</v>
      </c>
      <c r="K450" s="209">
        <f>IF(J450=1,HLOOKUP(C450,'計算書（第4回）'!$C$123:$U$124,2,TRUE),0)</f>
        <v>0</v>
      </c>
      <c r="L450" s="209">
        <f>IF('信用保険料計算書（上限2000万）'!$M$15="",0,IF($B450&lt;'信用保険料計算書（上限2000万）'!$M$15,0,IF($B450&gt;'信用保険料計算書（上限2000万）'!$M$16,0,1)))</f>
        <v>0</v>
      </c>
      <c r="M450" s="209">
        <f>IF(L450=1,HLOOKUP(C450,'計算書（第5回）'!$C$123:$U$124,2,TRUE),0)</f>
        <v>0</v>
      </c>
      <c r="N450" s="209">
        <f>IF('信用保険料計算書（上限2000万）'!$O$15="",0,IF($B450&lt;'信用保険料計算書（上限2000万）'!$O$15,0,IF($B450&gt;'信用保険料計算書（上限2000万）'!$O$16,0,1)))</f>
        <v>0</v>
      </c>
      <c r="O450" s="209">
        <f>IF(N450=1,HLOOKUP(C450,'計算書（第6回）'!$C$123:$U$124,2,TRUE),0)</f>
        <v>0</v>
      </c>
      <c r="P450" s="209">
        <f>IF('信用保険料計算書（上限2000万）'!$Q$15="",0,IF($B450&lt;'信用保険料計算書（上限2000万）'!$Q$15,0,IF($B450&gt;'信用保険料計算書（上限2000万）'!$Q$16,0,1)))</f>
        <v>0</v>
      </c>
      <c r="Q450" s="209">
        <f>IF(P450=1,HLOOKUP(C450,'計算書（第7回）'!$C$123:$U$124,2,TRUE),0)</f>
        <v>0</v>
      </c>
      <c r="R450" s="213"/>
      <c r="S450" s="211">
        <f>COUNTIF($AB$13:$AB$19,"&lt;=2031/7/1")</f>
        <v>2</v>
      </c>
      <c r="T450" s="178">
        <f t="shared" si="57"/>
        <v>44743</v>
      </c>
      <c r="U450" s="181">
        <f t="shared" si="58"/>
        <v>0</v>
      </c>
      <c r="V450" s="182">
        <f t="shared" si="56"/>
        <v>0</v>
      </c>
      <c r="W450" s="245">
        <f t="shared" si="52"/>
        <v>0</v>
      </c>
      <c r="X450" s="182"/>
    </row>
    <row r="451" spans="2:24">
      <c r="B451" s="214">
        <f t="shared" si="59"/>
        <v>54271</v>
      </c>
      <c r="C451" s="198">
        <f t="shared" si="47"/>
        <v>54240</v>
      </c>
      <c r="D451" s="209">
        <f>IF(B451&lt;'信用保険料計算書（上限2000万）'!$E$15,0,IF(B451&gt;'信用保険料計算書（上限2000万）'!$E$16,0,1))</f>
        <v>0</v>
      </c>
      <c r="E451" s="209">
        <f>IF(D451=1,HLOOKUP(C451,'計算書（第1回）'!$C$123:$U$124,2,TRUE),0)</f>
        <v>0</v>
      </c>
      <c r="F451" s="209">
        <f>IF('信用保険料計算書（上限2000万）'!$G$15="",0,IF($B451&lt;'信用保険料計算書（上限2000万）'!$G$15,0,IF($B451&gt;'信用保険料計算書（上限2000万）'!$G$16,0,1)))</f>
        <v>0</v>
      </c>
      <c r="G451" s="209">
        <f>IF(F451=1,HLOOKUP(C451,'計算書（第2回）'!$C$123:$U$124,2,TRUE),0)</f>
        <v>0</v>
      </c>
      <c r="H451" s="209">
        <f>IF('信用保険料計算書（上限2000万）'!$I$15="",0,IF($B451&lt;'信用保険料計算書（上限2000万）'!$I$15,0,IF($B451&gt;'信用保険料計算書（上限2000万）'!$I$16,0,1)))</f>
        <v>0</v>
      </c>
      <c r="I451" s="209">
        <f>IF(H451=1,HLOOKUP(C451,'計算書（第3回）'!$C$123:$U$124,2,TRUE),0)</f>
        <v>0</v>
      </c>
      <c r="J451" s="209">
        <f>IF('信用保険料計算書（上限2000万）'!$K$15="",0,IF($B451&lt;'信用保険料計算書（上限2000万）'!$K$15,0,IF($B451&gt;'信用保険料計算書（上限2000万）'!$K$16,0,1)))</f>
        <v>0</v>
      </c>
      <c r="K451" s="209">
        <f>IF(J451=1,HLOOKUP(C451,'計算書（第4回）'!$C$123:$U$124,2,TRUE),0)</f>
        <v>0</v>
      </c>
      <c r="L451" s="209">
        <f>IF('信用保険料計算書（上限2000万）'!$M$15="",0,IF($B451&lt;'信用保険料計算書（上限2000万）'!$M$15,0,IF($B451&gt;'信用保険料計算書（上限2000万）'!$M$16,0,1)))</f>
        <v>0</v>
      </c>
      <c r="M451" s="209">
        <f>IF(L451=1,HLOOKUP(C451,'計算書（第5回）'!$C$123:$U$124,2,TRUE),0)</f>
        <v>0</v>
      </c>
      <c r="N451" s="209">
        <f>IF('信用保険料計算書（上限2000万）'!$O$15="",0,IF($B451&lt;'信用保険料計算書（上限2000万）'!$O$15,0,IF($B451&gt;'信用保険料計算書（上限2000万）'!$O$16,0,1)))</f>
        <v>0</v>
      </c>
      <c r="O451" s="209">
        <f>IF(N451=1,HLOOKUP(C451,'計算書（第6回）'!$C$123:$U$124,2,TRUE),0)</f>
        <v>0</v>
      </c>
      <c r="P451" s="209">
        <f>IF('信用保険料計算書（上限2000万）'!$Q$15="",0,IF($B451&lt;'信用保険料計算書（上限2000万）'!$Q$15,0,IF($B451&gt;'信用保険料計算書（上限2000万）'!$Q$16,0,1)))</f>
        <v>0</v>
      </c>
      <c r="Q451" s="209">
        <f>IF(P451=1,HLOOKUP(C451,'計算書（第7回）'!$C$123:$U$124,2,TRUE),0)</f>
        <v>0</v>
      </c>
      <c r="R451" s="213"/>
      <c r="S451" s="211">
        <f>COUNTIF($AB$13:$AB$19,"&lt;=2031/8/1")</f>
        <v>2</v>
      </c>
      <c r="T451" s="178">
        <f t="shared" si="57"/>
        <v>44743</v>
      </c>
      <c r="U451" s="181">
        <f t="shared" si="58"/>
        <v>0</v>
      </c>
      <c r="V451" s="182">
        <f t="shared" si="56"/>
        <v>0</v>
      </c>
      <c r="W451" s="245">
        <f t="shared" si="52"/>
        <v>0</v>
      </c>
      <c r="X451" s="182"/>
    </row>
    <row r="452" spans="2:24">
      <c r="B452" s="214">
        <f t="shared" si="59"/>
        <v>54302</v>
      </c>
      <c r="C452" s="198">
        <f t="shared" si="47"/>
        <v>54271</v>
      </c>
      <c r="D452" s="209">
        <f>IF(B452&lt;'信用保険料計算書（上限2000万）'!$E$15,0,IF(B452&gt;'信用保険料計算書（上限2000万）'!$E$16,0,1))</f>
        <v>0</v>
      </c>
      <c r="E452" s="209">
        <f>IF(D452=1,HLOOKUP(C452,'計算書（第1回）'!$C$123:$U$124,2,TRUE),0)</f>
        <v>0</v>
      </c>
      <c r="F452" s="209">
        <f>IF('信用保険料計算書（上限2000万）'!$G$15="",0,IF($B452&lt;'信用保険料計算書（上限2000万）'!$G$15,0,IF($B452&gt;'信用保険料計算書（上限2000万）'!$G$16,0,1)))</f>
        <v>0</v>
      </c>
      <c r="G452" s="209">
        <f>IF(F452=1,HLOOKUP(C452,'計算書（第2回）'!$C$123:$U$124,2,TRUE),0)</f>
        <v>0</v>
      </c>
      <c r="H452" s="209">
        <f>IF('信用保険料計算書（上限2000万）'!$I$15="",0,IF($B452&lt;'信用保険料計算書（上限2000万）'!$I$15,0,IF($B452&gt;'信用保険料計算書（上限2000万）'!$I$16,0,1)))</f>
        <v>0</v>
      </c>
      <c r="I452" s="209">
        <f>IF(H452=1,HLOOKUP(C452,'計算書（第3回）'!$C$123:$U$124,2,TRUE),0)</f>
        <v>0</v>
      </c>
      <c r="J452" s="209">
        <f>IF('信用保険料計算書（上限2000万）'!$K$15="",0,IF($B452&lt;'信用保険料計算書（上限2000万）'!$K$15,0,IF($B452&gt;'信用保険料計算書（上限2000万）'!$K$16,0,1)))</f>
        <v>0</v>
      </c>
      <c r="K452" s="209">
        <f>IF(J452=1,HLOOKUP(C452,'計算書（第4回）'!$C$123:$U$124,2,TRUE),0)</f>
        <v>0</v>
      </c>
      <c r="L452" s="209">
        <f>IF('信用保険料計算書（上限2000万）'!$M$15="",0,IF($B452&lt;'信用保険料計算書（上限2000万）'!$M$15,0,IF($B452&gt;'信用保険料計算書（上限2000万）'!$M$16,0,1)))</f>
        <v>0</v>
      </c>
      <c r="M452" s="209">
        <f>IF(L452=1,HLOOKUP(C452,'計算書（第5回）'!$C$123:$U$124,2,TRUE),0)</f>
        <v>0</v>
      </c>
      <c r="N452" s="209">
        <f>IF('信用保険料計算書（上限2000万）'!$O$15="",0,IF($B452&lt;'信用保険料計算書（上限2000万）'!$O$15,0,IF($B452&gt;'信用保険料計算書（上限2000万）'!$O$16,0,1)))</f>
        <v>0</v>
      </c>
      <c r="O452" s="209">
        <f>IF(N452=1,HLOOKUP(C452,'計算書（第6回）'!$C$123:$U$124,2,TRUE),0)</f>
        <v>0</v>
      </c>
      <c r="P452" s="209">
        <f>IF('信用保険料計算書（上限2000万）'!$Q$15="",0,IF($B452&lt;'信用保険料計算書（上限2000万）'!$Q$15,0,IF($B452&gt;'信用保険料計算書（上限2000万）'!$Q$16,0,1)))</f>
        <v>0</v>
      </c>
      <c r="Q452" s="209">
        <f>IF(P452=1,HLOOKUP(C452,'計算書（第7回）'!$C$123:$U$124,2,TRUE),0)</f>
        <v>0</v>
      </c>
      <c r="R452" s="213"/>
      <c r="S452" s="211">
        <f>COUNTIF($AB$13:$AB$19,"&lt;=2031/9/1")</f>
        <v>2</v>
      </c>
      <c r="T452" s="178">
        <f t="shared" si="57"/>
        <v>44743</v>
      </c>
      <c r="U452" s="181">
        <f t="shared" si="58"/>
        <v>0</v>
      </c>
      <c r="V452" s="182">
        <f t="shared" si="56"/>
        <v>0</v>
      </c>
      <c r="W452" s="245">
        <f t="shared" ref="W452:W482" si="60">IF(V452=0,0,ROUNDDOWN(V452*0.0048/12,2))</f>
        <v>0</v>
      </c>
      <c r="X452" s="183">
        <f>INT(SUM(W447:W452))</f>
        <v>0</v>
      </c>
    </row>
    <row r="453" spans="2:24">
      <c r="B453" s="214">
        <f t="shared" si="59"/>
        <v>54332</v>
      </c>
      <c r="C453" s="198">
        <f t="shared" si="47"/>
        <v>54302</v>
      </c>
      <c r="D453" s="209">
        <f>IF(B453&lt;'信用保険料計算書（上限2000万）'!$E$15,0,IF(B453&gt;'信用保険料計算書（上限2000万）'!$E$16,0,1))</f>
        <v>0</v>
      </c>
      <c r="E453" s="209">
        <f>IF(D453=1,HLOOKUP(C453,'計算書（第1回）'!$C$123:$U$124,2,TRUE),0)</f>
        <v>0</v>
      </c>
      <c r="F453" s="209">
        <f>IF('信用保険料計算書（上限2000万）'!$G$15="",0,IF($B453&lt;'信用保険料計算書（上限2000万）'!$G$15,0,IF($B453&gt;'信用保険料計算書（上限2000万）'!$G$16,0,1)))</f>
        <v>0</v>
      </c>
      <c r="G453" s="209">
        <f>IF(F453=1,HLOOKUP(C453,'計算書（第2回）'!$C$123:$U$124,2,TRUE),0)</f>
        <v>0</v>
      </c>
      <c r="H453" s="209">
        <f>IF('信用保険料計算書（上限2000万）'!$I$15="",0,IF($B453&lt;'信用保険料計算書（上限2000万）'!$I$15,0,IF($B453&gt;'信用保険料計算書（上限2000万）'!$I$16,0,1)))</f>
        <v>0</v>
      </c>
      <c r="I453" s="209">
        <f>IF(H453=1,HLOOKUP(C453,'計算書（第3回）'!$C$123:$U$124,2,TRUE),0)</f>
        <v>0</v>
      </c>
      <c r="J453" s="209">
        <f>IF('信用保険料計算書（上限2000万）'!$K$15="",0,IF($B453&lt;'信用保険料計算書（上限2000万）'!$K$15,0,IF($B453&gt;'信用保険料計算書（上限2000万）'!$K$16,0,1)))</f>
        <v>0</v>
      </c>
      <c r="K453" s="209">
        <f>IF(J453=1,HLOOKUP(C453,'計算書（第4回）'!$C$123:$U$124,2,TRUE),0)</f>
        <v>0</v>
      </c>
      <c r="L453" s="209">
        <f>IF('信用保険料計算書（上限2000万）'!$M$15="",0,IF($B453&lt;'信用保険料計算書（上限2000万）'!$M$15,0,IF($B453&gt;'信用保険料計算書（上限2000万）'!$M$16,0,1)))</f>
        <v>0</v>
      </c>
      <c r="M453" s="209">
        <f>IF(L453=1,HLOOKUP(C453,'計算書（第5回）'!$C$123:$U$124,2,TRUE),0)</f>
        <v>0</v>
      </c>
      <c r="N453" s="209">
        <f>IF('信用保険料計算書（上限2000万）'!$O$15="",0,IF($B453&lt;'信用保険料計算書（上限2000万）'!$O$15,0,IF($B453&gt;'信用保険料計算書（上限2000万）'!$O$16,0,1)))</f>
        <v>0</v>
      </c>
      <c r="O453" s="209">
        <f>IF(N453=1,HLOOKUP(C453,'計算書（第6回）'!$C$123:$U$124,2,TRUE),0)</f>
        <v>0</v>
      </c>
      <c r="P453" s="209">
        <f>IF('信用保険料計算書（上限2000万）'!$Q$15="",0,IF($B453&lt;'信用保険料計算書（上限2000万）'!$Q$15,0,IF($B453&gt;'信用保険料計算書（上限2000万）'!$Q$16,0,1)))</f>
        <v>0</v>
      </c>
      <c r="Q453" s="209">
        <f>IF(P453=1,HLOOKUP(C453,'計算書（第7回）'!$C$123:$U$124,2,TRUE),0)</f>
        <v>0</v>
      </c>
      <c r="R453" s="213"/>
      <c r="S453" s="211">
        <f>COUNTIF($AB$13:$AB$19,"&lt;=2031/10/1")</f>
        <v>2</v>
      </c>
      <c r="T453" s="178">
        <f t="shared" si="57"/>
        <v>44743</v>
      </c>
      <c r="U453" s="181">
        <f t="shared" si="58"/>
        <v>0</v>
      </c>
      <c r="V453" s="182">
        <f t="shared" si="56"/>
        <v>0</v>
      </c>
      <c r="W453" s="245">
        <f t="shared" si="60"/>
        <v>0</v>
      </c>
      <c r="X453" s="182"/>
    </row>
    <row r="454" spans="2:24">
      <c r="B454" s="214">
        <f t="shared" si="59"/>
        <v>54363</v>
      </c>
      <c r="C454" s="198">
        <f t="shared" si="47"/>
        <v>54332</v>
      </c>
      <c r="D454" s="209">
        <f>IF(B454&lt;'信用保険料計算書（上限2000万）'!$E$15,0,IF(B454&gt;'信用保険料計算書（上限2000万）'!$E$16,0,1))</f>
        <v>0</v>
      </c>
      <c r="E454" s="209">
        <f>IF(D454=1,HLOOKUP(C454,'計算書（第1回）'!$C$123:$U$124,2,TRUE),0)</f>
        <v>0</v>
      </c>
      <c r="F454" s="209">
        <f>IF('信用保険料計算書（上限2000万）'!$G$15="",0,IF($B454&lt;'信用保険料計算書（上限2000万）'!$G$15,0,IF($B454&gt;'信用保険料計算書（上限2000万）'!$G$16,0,1)))</f>
        <v>0</v>
      </c>
      <c r="G454" s="209">
        <f>IF(F454=1,HLOOKUP(C454,'計算書（第2回）'!$C$123:$U$124,2,TRUE),0)</f>
        <v>0</v>
      </c>
      <c r="H454" s="209">
        <f>IF('信用保険料計算書（上限2000万）'!$I$15="",0,IF($B454&lt;'信用保険料計算書（上限2000万）'!$I$15,0,IF($B454&gt;'信用保険料計算書（上限2000万）'!$I$16,0,1)))</f>
        <v>0</v>
      </c>
      <c r="I454" s="209">
        <f>IF(H454=1,HLOOKUP(C454,'計算書（第3回）'!$C$123:$U$124,2,TRUE),0)</f>
        <v>0</v>
      </c>
      <c r="J454" s="209">
        <f>IF('信用保険料計算書（上限2000万）'!$K$15="",0,IF($B454&lt;'信用保険料計算書（上限2000万）'!$K$15,0,IF($B454&gt;'信用保険料計算書（上限2000万）'!$K$16,0,1)))</f>
        <v>0</v>
      </c>
      <c r="K454" s="209">
        <f>IF(J454=1,HLOOKUP(C454,'計算書（第4回）'!$C$123:$U$124,2,TRUE),0)</f>
        <v>0</v>
      </c>
      <c r="L454" s="209">
        <f>IF('信用保険料計算書（上限2000万）'!$M$15="",0,IF($B454&lt;'信用保険料計算書（上限2000万）'!$M$15,0,IF($B454&gt;'信用保険料計算書（上限2000万）'!$M$16,0,1)))</f>
        <v>0</v>
      </c>
      <c r="M454" s="209">
        <f>IF(L454=1,HLOOKUP(C454,'計算書（第5回）'!$C$123:$U$124,2,TRUE),0)</f>
        <v>0</v>
      </c>
      <c r="N454" s="209">
        <f>IF('信用保険料計算書（上限2000万）'!$O$15="",0,IF($B454&lt;'信用保険料計算書（上限2000万）'!$O$15,0,IF($B454&gt;'信用保険料計算書（上限2000万）'!$O$16,0,1)))</f>
        <v>0</v>
      </c>
      <c r="O454" s="209">
        <f>IF(N454=1,HLOOKUP(C454,'計算書（第6回）'!$C$123:$U$124,2,TRUE),0)</f>
        <v>0</v>
      </c>
      <c r="P454" s="209">
        <f>IF('信用保険料計算書（上限2000万）'!$Q$15="",0,IF($B454&lt;'信用保険料計算書（上限2000万）'!$Q$15,0,IF($B454&gt;'信用保険料計算書（上限2000万）'!$Q$16,0,1)))</f>
        <v>0</v>
      </c>
      <c r="Q454" s="209">
        <f>IF(P454=1,HLOOKUP(C454,'計算書（第7回）'!$C$123:$U$124,2,TRUE),0)</f>
        <v>0</v>
      </c>
      <c r="R454" s="213"/>
      <c r="S454" s="211">
        <f>COUNTIF($AB$13:$AB$19,"&lt;=2031/11/1")</f>
        <v>2</v>
      </c>
      <c r="T454" s="178">
        <f t="shared" si="57"/>
        <v>44743</v>
      </c>
      <c r="U454" s="181">
        <f t="shared" si="58"/>
        <v>0</v>
      </c>
      <c r="V454" s="182">
        <f t="shared" si="56"/>
        <v>0</v>
      </c>
      <c r="W454" s="245">
        <f t="shared" si="60"/>
        <v>0</v>
      </c>
      <c r="X454" s="182"/>
    </row>
    <row r="455" spans="2:24">
      <c r="B455" s="214">
        <f t="shared" si="59"/>
        <v>54393</v>
      </c>
      <c r="C455" s="198">
        <f t="shared" si="47"/>
        <v>54363</v>
      </c>
      <c r="D455" s="209">
        <f>IF(B455&lt;'信用保険料計算書（上限2000万）'!$E$15,0,IF(B455&gt;'信用保険料計算書（上限2000万）'!$E$16,0,1))</f>
        <v>0</v>
      </c>
      <c r="E455" s="209">
        <f>IF(D455=1,HLOOKUP(C455,'計算書（第1回）'!$C$123:$U$124,2,TRUE),0)</f>
        <v>0</v>
      </c>
      <c r="F455" s="209">
        <f>IF('信用保険料計算書（上限2000万）'!$G$15="",0,IF($B455&lt;'信用保険料計算書（上限2000万）'!$G$15,0,IF($B455&gt;'信用保険料計算書（上限2000万）'!$G$16,0,1)))</f>
        <v>0</v>
      </c>
      <c r="G455" s="209">
        <f>IF(F455=1,HLOOKUP(C455,'計算書（第2回）'!$C$123:$U$124,2,TRUE),0)</f>
        <v>0</v>
      </c>
      <c r="H455" s="209">
        <f>IF('信用保険料計算書（上限2000万）'!$I$15="",0,IF($B455&lt;'信用保険料計算書（上限2000万）'!$I$15,0,IF($B455&gt;'信用保険料計算書（上限2000万）'!$I$16,0,1)))</f>
        <v>0</v>
      </c>
      <c r="I455" s="209">
        <f>IF(H455=1,HLOOKUP(C455,'計算書（第3回）'!$C$123:$U$124,2,TRUE),0)</f>
        <v>0</v>
      </c>
      <c r="J455" s="209">
        <f>IF('信用保険料計算書（上限2000万）'!$K$15="",0,IF($B455&lt;'信用保険料計算書（上限2000万）'!$K$15,0,IF($B455&gt;'信用保険料計算書（上限2000万）'!$K$16,0,1)))</f>
        <v>0</v>
      </c>
      <c r="K455" s="209">
        <f>IF(J455=1,HLOOKUP(C455,'計算書（第4回）'!$C$123:$U$124,2,TRUE),0)</f>
        <v>0</v>
      </c>
      <c r="L455" s="209">
        <f>IF('信用保険料計算書（上限2000万）'!$M$15="",0,IF($B455&lt;'信用保険料計算書（上限2000万）'!$M$15,0,IF($B455&gt;'信用保険料計算書（上限2000万）'!$M$16,0,1)))</f>
        <v>0</v>
      </c>
      <c r="M455" s="209">
        <f>IF(L455=1,HLOOKUP(C455,'計算書（第5回）'!$C$123:$U$124,2,TRUE),0)</f>
        <v>0</v>
      </c>
      <c r="N455" s="209">
        <f>IF('信用保険料計算書（上限2000万）'!$O$15="",0,IF($B455&lt;'信用保険料計算書（上限2000万）'!$O$15,0,IF($B455&gt;'信用保険料計算書（上限2000万）'!$O$16,0,1)))</f>
        <v>0</v>
      </c>
      <c r="O455" s="209">
        <f>IF(N455=1,HLOOKUP(C455,'計算書（第6回）'!$C$123:$U$124,2,TRUE),0)</f>
        <v>0</v>
      </c>
      <c r="P455" s="209">
        <f>IF('信用保険料計算書（上限2000万）'!$Q$15="",0,IF($B455&lt;'信用保険料計算書（上限2000万）'!$Q$15,0,IF($B455&gt;'信用保険料計算書（上限2000万）'!$Q$16,0,1)))</f>
        <v>0</v>
      </c>
      <c r="Q455" s="209">
        <f>IF(P455=1,HLOOKUP(C455,'計算書（第7回）'!$C$123:$U$124,2,TRUE),0)</f>
        <v>0</v>
      </c>
      <c r="R455" s="213"/>
      <c r="S455" s="211">
        <f>COUNTIF($AB$13:$AB$19,"&lt;=2031/12/1")</f>
        <v>2</v>
      </c>
      <c r="T455" s="178">
        <f t="shared" si="57"/>
        <v>44743</v>
      </c>
      <c r="U455" s="181">
        <f t="shared" si="58"/>
        <v>0</v>
      </c>
      <c r="V455" s="182">
        <f t="shared" si="56"/>
        <v>0</v>
      </c>
      <c r="W455" s="245">
        <f t="shared" si="60"/>
        <v>0</v>
      </c>
      <c r="X455" s="182"/>
    </row>
    <row r="456" spans="2:24">
      <c r="B456" s="214">
        <f t="shared" si="59"/>
        <v>54424</v>
      </c>
      <c r="C456" s="198">
        <f t="shared" si="47"/>
        <v>54393</v>
      </c>
      <c r="D456" s="209">
        <f>IF(B456&lt;'信用保険料計算書（上限2000万）'!$E$15,0,IF(B456&gt;'信用保険料計算書（上限2000万）'!$E$16,0,1))</f>
        <v>0</v>
      </c>
      <c r="E456" s="209">
        <f>IF(D456=1,HLOOKUP(C456,'計算書（第1回）'!$C$123:$U$124,2,TRUE),0)</f>
        <v>0</v>
      </c>
      <c r="F456" s="209">
        <f>IF('信用保険料計算書（上限2000万）'!$G$15="",0,IF($B456&lt;'信用保険料計算書（上限2000万）'!$G$15,0,IF($B456&gt;'信用保険料計算書（上限2000万）'!$G$16,0,1)))</f>
        <v>0</v>
      </c>
      <c r="G456" s="209">
        <f>IF(F456=1,HLOOKUP(C456,'計算書（第2回）'!$C$123:$U$124,2,TRUE),0)</f>
        <v>0</v>
      </c>
      <c r="H456" s="209">
        <f>IF('信用保険料計算書（上限2000万）'!$I$15="",0,IF($B456&lt;'信用保険料計算書（上限2000万）'!$I$15,0,IF($B456&gt;'信用保険料計算書（上限2000万）'!$I$16,0,1)))</f>
        <v>0</v>
      </c>
      <c r="I456" s="209">
        <f>IF(H456=1,HLOOKUP(C456,'計算書（第3回）'!$C$123:$U$124,2,TRUE),0)</f>
        <v>0</v>
      </c>
      <c r="J456" s="209">
        <f>IF('信用保険料計算書（上限2000万）'!$K$15="",0,IF($B456&lt;'信用保険料計算書（上限2000万）'!$K$15,0,IF($B456&gt;'信用保険料計算書（上限2000万）'!$K$16,0,1)))</f>
        <v>0</v>
      </c>
      <c r="K456" s="209">
        <f>IF(J456=1,HLOOKUP(C456,'計算書（第4回）'!$C$123:$U$124,2,TRUE),0)</f>
        <v>0</v>
      </c>
      <c r="L456" s="209">
        <f>IF('信用保険料計算書（上限2000万）'!$M$15="",0,IF($B456&lt;'信用保険料計算書（上限2000万）'!$M$15,0,IF($B456&gt;'信用保険料計算書（上限2000万）'!$M$16,0,1)))</f>
        <v>0</v>
      </c>
      <c r="M456" s="209">
        <f>IF(L456=1,HLOOKUP(C456,'計算書（第5回）'!$C$123:$U$124,2,TRUE),0)</f>
        <v>0</v>
      </c>
      <c r="N456" s="209">
        <f>IF('信用保険料計算書（上限2000万）'!$O$15="",0,IF($B456&lt;'信用保険料計算書（上限2000万）'!$O$15,0,IF($B456&gt;'信用保険料計算書（上限2000万）'!$O$16,0,1)))</f>
        <v>0</v>
      </c>
      <c r="O456" s="209">
        <f>IF(N456=1,HLOOKUP(C456,'計算書（第6回）'!$C$123:$U$124,2,TRUE),0)</f>
        <v>0</v>
      </c>
      <c r="P456" s="209">
        <f>IF('信用保険料計算書（上限2000万）'!$Q$15="",0,IF($B456&lt;'信用保険料計算書（上限2000万）'!$Q$15,0,IF($B456&gt;'信用保険料計算書（上限2000万）'!$Q$16,0,1)))</f>
        <v>0</v>
      </c>
      <c r="Q456" s="209">
        <f>IF(P456=1,HLOOKUP(C456,'計算書（第7回）'!$C$123:$U$124,2,TRUE),0)</f>
        <v>0</v>
      </c>
      <c r="R456" s="212"/>
      <c r="S456" s="211">
        <f>COUNTIF($AB$13:$AB$19,"&lt;=2032/1/1")</f>
        <v>2</v>
      </c>
      <c r="T456" s="178">
        <f t="shared" si="57"/>
        <v>44743</v>
      </c>
      <c r="U456" s="181">
        <f t="shared" si="58"/>
        <v>0</v>
      </c>
      <c r="V456" s="182">
        <f t="shared" si="56"/>
        <v>0</v>
      </c>
      <c r="W456" s="245">
        <f t="shared" si="60"/>
        <v>0</v>
      </c>
      <c r="X456" s="182"/>
    </row>
    <row r="457" spans="2:24">
      <c r="B457" s="214">
        <f t="shared" si="59"/>
        <v>54455</v>
      </c>
      <c r="C457" s="198">
        <f t="shared" si="47"/>
        <v>54424</v>
      </c>
      <c r="D457" s="209">
        <f>IF(B457&lt;'信用保険料計算書（上限2000万）'!$E$15,0,IF(B457&gt;'信用保険料計算書（上限2000万）'!$E$16,0,1))</f>
        <v>0</v>
      </c>
      <c r="E457" s="209">
        <f>IF(D457=1,HLOOKUP(C457,'計算書（第1回）'!$C$123:$U$124,2,TRUE),0)</f>
        <v>0</v>
      </c>
      <c r="F457" s="209">
        <f>IF('信用保険料計算書（上限2000万）'!$G$15="",0,IF($B457&lt;'信用保険料計算書（上限2000万）'!$G$15,0,IF($B457&gt;'信用保険料計算書（上限2000万）'!$G$16,0,1)))</f>
        <v>0</v>
      </c>
      <c r="G457" s="209">
        <f>IF(F457=1,HLOOKUP(C457,'計算書（第2回）'!$C$123:$U$124,2,TRUE),0)</f>
        <v>0</v>
      </c>
      <c r="H457" s="209">
        <f>IF('信用保険料計算書（上限2000万）'!$I$15="",0,IF($B457&lt;'信用保険料計算書（上限2000万）'!$I$15,0,IF($B457&gt;'信用保険料計算書（上限2000万）'!$I$16,0,1)))</f>
        <v>0</v>
      </c>
      <c r="I457" s="209">
        <f>IF(H457=1,HLOOKUP(C457,'計算書（第3回）'!$C$123:$U$124,2,TRUE),0)</f>
        <v>0</v>
      </c>
      <c r="J457" s="209">
        <f>IF('信用保険料計算書（上限2000万）'!$K$15="",0,IF($B457&lt;'信用保険料計算書（上限2000万）'!$K$15,0,IF($B457&gt;'信用保険料計算書（上限2000万）'!$K$16,0,1)))</f>
        <v>0</v>
      </c>
      <c r="K457" s="209">
        <f>IF(J457=1,HLOOKUP(C457,'計算書（第4回）'!$C$123:$U$124,2,TRUE),0)</f>
        <v>0</v>
      </c>
      <c r="L457" s="209">
        <f>IF('信用保険料計算書（上限2000万）'!$M$15="",0,IF($B457&lt;'信用保険料計算書（上限2000万）'!$M$15,0,IF($B457&gt;'信用保険料計算書（上限2000万）'!$M$16,0,1)))</f>
        <v>0</v>
      </c>
      <c r="M457" s="209">
        <f>IF(L457=1,HLOOKUP(C457,'計算書（第5回）'!$C$123:$U$124,2,TRUE),0)</f>
        <v>0</v>
      </c>
      <c r="N457" s="209">
        <f>IF('信用保険料計算書（上限2000万）'!$O$15="",0,IF($B457&lt;'信用保険料計算書（上限2000万）'!$O$15,0,IF($B457&gt;'信用保険料計算書（上限2000万）'!$O$16,0,1)))</f>
        <v>0</v>
      </c>
      <c r="O457" s="209">
        <f>IF(N457=1,HLOOKUP(C457,'計算書（第6回）'!$C$123:$U$124,2,TRUE),0)</f>
        <v>0</v>
      </c>
      <c r="P457" s="209">
        <f>IF('信用保険料計算書（上限2000万）'!$Q$15="",0,IF($B457&lt;'信用保険料計算書（上限2000万）'!$Q$15,0,IF($B457&gt;'信用保険料計算書（上限2000万）'!$Q$16,0,1)))</f>
        <v>0</v>
      </c>
      <c r="Q457" s="209">
        <f>IF(P457=1,HLOOKUP(C457,'計算書（第7回）'!$C$123:$U$124,2,TRUE),0)</f>
        <v>0</v>
      </c>
      <c r="R457" s="212"/>
      <c r="S457" s="211">
        <f>COUNTIF($AB$13:$AB$19,"&lt;=2032/2/1")</f>
        <v>2</v>
      </c>
      <c r="T457" s="178">
        <f t="shared" si="57"/>
        <v>44743</v>
      </c>
      <c r="U457" s="181">
        <f t="shared" si="58"/>
        <v>0</v>
      </c>
      <c r="V457" s="182">
        <f t="shared" si="56"/>
        <v>0</v>
      </c>
      <c r="W457" s="245">
        <f t="shared" si="60"/>
        <v>0</v>
      </c>
      <c r="X457" s="182"/>
    </row>
    <row r="458" spans="2:24">
      <c r="B458" s="214">
        <f t="shared" si="59"/>
        <v>54483</v>
      </c>
      <c r="C458" s="198">
        <f t="shared" si="47"/>
        <v>54455</v>
      </c>
      <c r="D458" s="209">
        <f>IF(B458&lt;'信用保険料計算書（上限2000万）'!$E$15,0,IF(B458&gt;'信用保険料計算書（上限2000万）'!$E$16,0,1))</f>
        <v>0</v>
      </c>
      <c r="E458" s="209">
        <f>IF(D458=1,HLOOKUP(C458,'計算書（第1回）'!$C$123:$U$124,2,TRUE),0)</f>
        <v>0</v>
      </c>
      <c r="F458" s="209">
        <f>IF('信用保険料計算書（上限2000万）'!$G$15="",0,IF($B458&lt;'信用保険料計算書（上限2000万）'!$G$15,0,IF($B458&gt;'信用保険料計算書（上限2000万）'!$G$16,0,1)))</f>
        <v>0</v>
      </c>
      <c r="G458" s="209">
        <f>IF(F458=1,HLOOKUP(C458,'計算書（第2回）'!$C$123:$U$124,2,TRUE),0)</f>
        <v>0</v>
      </c>
      <c r="H458" s="209">
        <f>IF('信用保険料計算書（上限2000万）'!$I$15="",0,IF($B458&lt;'信用保険料計算書（上限2000万）'!$I$15,0,IF($B458&gt;'信用保険料計算書（上限2000万）'!$I$16,0,1)))</f>
        <v>0</v>
      </c>
      <c r="I458" s="209">
        <f>IF(H458=1,HLOOKUP(C458,'計算書（第3回）'!$C$123:$U$124,2,TRUE),0)</f>
        <v>0</v>
      </c>
      <c r="J458" s="209">
        <f>IF('信用保険料計算書（上限2000万）'!$K$15="",0,IF($B458&lt;'信用保険料計算書（上限2000万）'!$K$15,0,IF($B458&gt;'信用保険料計算書（上限2000万）'!$K$16,0,1)))</f>
        <v>0</v>
      </c>
      <c r="K458" s="209">
        <f>IF(J458=1,HLOOKUP(C458,'計算書（第4回）'!$C$123:$U$124,2,TRUE),0)</f>
        <v>0</v>
      </c>
      <c r="L458" s="209">
        <f>IF('信用保険料計算書（上限2000万）'!$M$15="",0,IF($B458&lt;'信用保険料計算書（上限2000万）'!$M$15,0,IF($B458&gt;'信用保険料計算書（上限2000万）'!$M$16,0,1)))</f>
        <v>0</v>
      </c>
      <c r="M458" s="209">
        <f>IF(L458=1,HLOOKUP(C458,'計算書（第5回）'!$C$123:$U$124,2,TRUE),0)</f>
        <v>0</v>
      </c>
      <c r="N458" s="209">
        <f>IF('信用保険料計算書（上限2000万）'!$O$15="",0,IF($B458&lt;'信用保険料計算書（上限2000万）'!$O$15,0,IF($B458&gt;'信用保険料計算書（上限2000万）'!$O$16,0,1)))</f>
        <v>0</v>
      </c>
      <c r="O458" s="209">
        <f>IF(N458=1,HLOOKUP(C458,'計算書（第6回）'!$C$123:$U$124,2,TRUE),0)</f>
        <v>0</v>
      </c>
      <c r="P458" s="209">
        <f>IF('信用保険料計算書（上限2000万）'!$Q$15="",0,IF($B458&lt;'信用保険料計算書（上限2000万）'!$Q$15,0,IF($B458&gt;'信用保険料計算書（上限2000万）'!$Q$16,0,1)))</f>
        <v>0</v>
      </c>
      <c r="Q458" s="209">
        <f>IF(P458=1,HLOOKUP(C458,'計算書（第7回）'!$C$123:$U$124,2,TRUE),0)</f>
        <v>0</v>
      </c>
      <c r="R458" s="212"/>
      <c r="S458" s="211">
        <f>COUNTIF($AB$13:$AB$19,"&lt;=2032/3/1")</f>
        <v>2</v>
      </c>
      <c r="T458" s="178">
        <f t="shared" si="57"/>
        <v>44743</v>
      </c>
      <c r="U458" s="181">
        <f t="shared" si="58"/>
        <v>0</v>
      </c>
      <c r="V458" s="182">
        <f t="shared" si="56"/>
        <v>0</v>
      </c>
      <c r="W458" s="245">
        <f t="shared" si="60"/>
        <v>0</v>
      </c>
      <c r="X458" s="183">
        <f>INT(SUM(W453:W458))</f>
        <v>0</v>
      </c>
    </row>
    <row r="459" spans="2:24">
      <c r="B459" s="214">
        <f>EDATE(B458,1)</f>
        <v>54514</v>
      </c>
      <c r="C459" s="198">
        <f t="shared" si="47"/>
        <v>54483</v>
      </c>
      <c r="D459" s="209">
        <f>IF(B459&lt;'信用保険料計算書（上限2000万）'!$E$15,0,IF(B459&gt;'信用保険料計算書（上限2000万）'!$E$16,0,1))</f>
        <v>0</v>
      </c>
      <c r="E459" s="209">
        <f>IF(D459=1,HLOOKUP(C459,'計算書（第1回）'!$C$123:$U$124,2,TRUE),0)</f>
        <v>0</v>
      </c>
      <c r="F459" s="209">
        <f>IF('信用保険料計算書（上限2000万）'!$G$15="",0,IF($B459&lt;'信用保険料計算書（上限2000万）'!$G$15,0,IF($B459&gt;'信用保険料計算書（上限2000万）'!$G$16,0,1)))</f>
        <v>0</v>
      </c>
      <c r="G459" s="209">
        <f>IF(F459=1,HLOOKUP(C459,'計算書（第2回）'!$C$123:$U$124,2,TRUE),0)</f>
        <v>0</v>
      </c>
      <c r="H459" s="209">
        <f>IF('信用保険料計算書（上限2000万）'!$I$15="",0,IF($B459&lt;'信用保険料計算書（上限2000万）'!$I$15,0,IF($B459&gt;'信用保険料計算書（上限2000万）'!$I$16,0,1)))</f>
        <v>0</v>
      </c>
      <c r="I459" s="209">
        <f>IF(H459=1,HLOOKUP(C459,'計算書（第3回）'!$C$123:$U$124,2,TRUE),0)</f>
        <v>0</v>
      </c>
      <c r="J459" s="209">
        <f>IF('信用保険料計算書（上限2000万）'!$K$15="",0,IF($B459&lt;'信用保険料計算書（上限2000万）'!$K$15,0,IF($B459&gt;'信用保険料計算書（上限2000万）'!$K$16,0,1)))</f>
        <v>0</v>
      </c>
      <c r="K459" s="209">
        <f>IF(J459=1,HLOOKUP(C459,'計算書（第4回）'!$C$123:$U$124,2,TRUE),0)</f>
        <v>0</v>
      </c>
      <c r="L459" s="209">
        <f>IF('信用保険料計算書（上限2000万）'!$M$15="",0,IF($B459&lt;'信用保険料計算書（上限2000万）'!$M$15,0,IF($B459&gt;'信用保険料計算書（上限2000万）'!$M$16,0,1)))</f>
        <v>0</v>
      </c>
      <c r="M459" s="209">
        <f>IF(L459=1,HLOOKUP(C459,'計算書（第5回）'!$C$123:$U$124,2,TRUE),0)</f>
        <v>0</v>
      </c>
      <c r="N459" s="209">
        <f>IF('信用保険料計算書（上限2000万）'!$O$15="",0,IF($B459&lt;'信用保険料計算書（上限2000万）'!$O$15,0,IF($B459&gt;'信用保険料計算書（上限2000万）'!$O$16,0,1)))</f>
        <v>0</v>
      </c>
      <c r="O459" s="209">
        <f>IF(N459=1,HLOOKUP(C459,'計算書（第6回）'!$C$123:$U$124,2,TRUE),0)</f>
        <v>0</v>
      </c>
      <c r="P459" s="209">
        <f>IF('信用保険料計算書（上限2000万）'!$Q$15="",0,IF($B459&lt;'信用保険料計算書（上限2000万）'!$Q$15,0,IF($B459&gt;'信用保険料計算書（上限2000万）'!$Q$16,0,1)))</f>
        <v>0</v>
      </c>
      <c r="Q459" s="209">
        <f>IF(P459=1,HLOOKUP(C459,'計算書（第7回）'!$C$123:$U$124,2,TRUE),0)</f>
        <v>0</v>
      </c>
      <c r="R459" s="213"/>
      <c r="S459" s="211">
        <f>COUNTIF($AB$13:$AB$19,"&lt;=2031/4/1")</f>
        <v>2</v>
      </c>
      <c r="T459" s="178">
        <f t="shared" ref="T459:T470" si="61">IF(S459="","",SMALL($AB$13:$AB$19,$S459))</f>
        <v>44743</v>
      </c>
      <c r="U459" s="181">
        <f t="shared" ref="U459:U470" si="62">E459+G459+I459+K459+M459+O459+Q459</f>
        <v>0</v>
      </c>
      <c r="V459" s="182">
        <f t="shared" ref="V459:V470" si="63">IF(U459=0,0,IF(U459&gt;VLOOKUP(T459,$AA$5:$AB$8,2,TRUE),VLOOKUP(T459,$AA$5:$AB$8,2,TRUE),U459))</f>
        <v>0</v>
      </c>
      <c r="W459" s="245">
        <f t="shared" si="60"/>
        <v>0</v>
      </c>
      <c r="X459" s="182"/>
    </row>
    <row r="460" spans="2:24">
      <c r="B460" s="214">
        <f t="shared" ref="B460:B470" si="64">EDATE(B459,1)</f>
        <v>54544</v>
      </c>
      <c r="C460" s="198">
        <f t="shared" si="47"/>
        <v>54514</v>
      </c>
      <c r="D460" s="209">
        <f>IF(B460&lt;'信用保険料計算書（上限2000万）'!$E$15,0,IF(B460&gt;'信用保険料計算書（上限2000万）'!$E$16,0,1))</f>
        <v>0</v>
      </c>
      <c r="E460" s="209">
        <f>IF(D460=1,HLOOKUP(C460,'計算書（第1回）'!$C$123:$U$124,2,TRUE),0)</f>
        <v>0</v>
      </c>
      <c r="F460" s="209">
        <f>IF('信用保険料計算書（上限2000万）'!$G$15="",0,IF($B460&lt;'信用保険料計算書（上限2000万）'!$G$15,0,IF($B460&gt;'信用保険料計算書（上限2000万）'!$G$16,0,1)))</f>
        <v>0</v>
      </c>
      <c r="G460" s="209">
        <f>IF(F460=1,HLOOKUP(C460,'計算書（第2回）'!$C$123:$U$124,2,TRUE),0)</f>
        <v>0</v>
      </c>
      <c r="H460" s="209">
        <f>IF('信用保険料計算書（上限2000万）'!$I$15="",0,IF($B460&lt;'信用保険料計算書（上限2000万）'!$I$15,0,IF($B460&gt;'信用保険料計算書（上限2000万）'!$I$16,0,1)))</f>
        <v>0</v>
      </c>
      <c r="I460" s="209">
        <f>IF(H460=1,HLOOKUP(C460,'計算書（第3回）'!$C$123:$U$124,2,TRUE),0)</f>
        <v>0</v>
      </c>
      <c r="J460" s="209">
        <f>IF('信用保険料計算書（上限2000万）'!$K$15="",0,IF($B460&lt;'信用保険料計算書（上限2000万）'!$K$15,0,IF($B460&gt;'信用保険料計算書（上限2000万）'!$K$16,0,1)))</f>
        <v>0</v>
      </c>
      <c r="K460" s="209">
        <f>IF(J460=1,HLOOKUP(C460,'計算書（第4回）'!$C$123:$U$124,2,TRUE),0)</f>
        <v>0</v>
      </c>
      <c r="L460" s="209">
        <f>IF('信用保険料計算書（上限2000万）'!$M$15="",0,IF($B460&lt;'信用保険料計算書（上限2000万）'!$M$15,0,IF($B460&gt;'信用保険料計算書（上限2000万）'!$M$16,0,1)))</f>
        <v>0</v>
      </c>
      <c r="M460" s="209">
        <f>IF(L460=1,HLOOKUP(C460,'計算書（第5回）'!$C$123:$U$124,2,TRUE),0)</f>
        <v>0</v>
      </c>
      <c r="N460" s="209">
        <f>IF('信用保険料計算書（上限2000万）'!$O$15="",0,IF($B460&lt;'信用保険料計算書（上限2000万）'!$O$15,0,IF($B460&gt;'信用保険料計算書（上限2000万）'!$O$16,0,1)))</f>
        <v>0</v>
      </c>
      <c r="O460" s="209">
        <f>IF(N460=1,HLOOKUP(C460,'計算書（第6回）'!$C$123:$U$124,2,TRUE),0)</f>
        <v>0</v>
      </c>
      <c r="P460" s="209">
        <f>IF('信用保険料計算書（上限2000万）'!$Q$15="",0,IF($B460&lt;'信用保険料計算書（上限2000万）'!$Q$15,0,IF($B460&gt;'信用保険料計算書（上限2000万）'!$Q$16,0,1)))</f>
        <v>0</v>
      </c>
      <c r="Q460" s="209">
        <f>IF(P460=1,HLOOKUP(C460,'計算書（第7回）'!$C$123:$U$124,2,TRUE),0)</f>
        <v>0</v>
      </c>
      <c r="R460" s="213"/>
      <c r="S460" s="211">
        <f>COUNTIF($AB$13:$AB$19,"&lt;=2031/5/1")</f>
        <v>2</v>
      </c>
      <c r="T460" s="178">
        <f t="shared" si="61"/>
        <v>44743</v>
      </c>
      <c r="U460" s="181">
        <f t="shared" si="62"/>
        <v>0</v>
      </c>
      <c r="V460" s="182">
        <f t="shared" si="63"/>
        <v>0</v>
      </c>
      <c r="W460" s="245">
        <f t="shared" si="60"/>
        <v>0</v>
      </c>
      <c r="X460" s="182"/>
    </row>
    <row r="461" spans="2:24">
      <c r="B461" s="214">
        <f t="shared" si="64"/>
        <v>54575</v>
      </c>
      <c r="C461" s="198">
        <f t="shared" si="47"/>
        <v>54544</v>
      </c>
      <c r="D461" s="209">
        <f>IF(B461&lt;'信用保険料計算書（上限2000万）'!$E$15,0,IF(B461&gt;'信用保険料計算書（上限2000万）'!$E$16,0,1))</f>
        <v>0</v>
      </c>
      <c r="E461" s="209">
        <f>IF(D461=1,HLOOKUP(C461,'計算書（第1回）'!$C$123:$U$124,2,TRUE),0)</f>
        <v>0</v>
      </c>
      <c r="F461" s="209">
        <f>IF('信用保険料計算書（上限2000万）'!$G$15="",0,IF($B461&lt;'信用保険料計算書（上限2000万）'!$G$15,0,IF($B461&gt;'信用保険料計算書（上限2000万）'!$G$16,0,1)))</f>
        <v>0</v>
      </c>
      <c r="G461" s="209">
        <f>IF(F461=1,HLOOKUP(C461,'計算書（第2回）'!$C$123:$U$124,2,TRUE),0)</f>
        <v>0</v>
      </c>
      <c r="H461" s="209">
        <f>IF('信用保険料計算書（上限2000万）'!$I$15="",0,IF($B461&lt;'信用保険料計算書（上限2000万）'!$I$15,0,IF($B461&gt;'信用保険料計算書（上限2000万）'!$I$16,0,1)))</f>
        <v>0</v>
      </c>
      <c r="I461" s="209">
        <f>IF(H461=1,HLOOKUP(C461,'計算書（第3回）'!$C$123:$U$124,2,TRUE),0)</f>
        <v>0</v>
      </c>
      <c r="J461" s="209">
        <f>IF('信用保険料計算書（上限2000万）'!$K$15="",0,IF($B461&lt;'信用保険料計算書（上限2000万）'!$K$15,0,IF($B461&gt;'信用保険料計算書（上限2000万）'!$K$16,0,1)))</f>
        <v>0</v>
      </c>
      <c r="K461" s="209">
        <f>IF(J461=1,HLOOKUP(C461,'計算書（第4回）'!$C$123:$U$124,2,TRUE),0)</f>
        <v>0</v>
      </c>
      <c r="L461" s="209">
        <f>IF('信用保険料計算書（上限2000万）'!$M$15="",0,IF($B461&lt;'信用保険料計算書（上限2000万）'!$M$15,0,IF($B461&gt;'信用保険料計算書（上限2000万）'!$M$16,0,1)))</f>
        <v>0</v>
      </c>
      <c r="M461" s="209">
        <f>IF(L461=1,HLOOKUP(C461,'計算書（第5回）'!$C$123:$U$124,2,TRUE),0)</f>
        <v>0</v>
      </c>
      <c r="N461" s="209">
        <f>IF('信用保険料計算書（上限2000万）'!$O$15="",0,IF($B461&lt;'信用保険料計算書（上限2000万）'!$O$15,0,IF($B461&gt;'信用保険料計算書（上限2000万）'!$O$16,0,1)))</f>
        <v>0</v>
      </c>
      <c r="O461" s="209">
        <f>IF(N461=1,HLOOKUP(C461,'計算書（第6回）'!$C$123:$U$124,2,TRUE),0)</f>
        <v>0</v>
      </c>
      <c r="P461" s="209">
        <f>IF('信用保険料計算書（上限2000万）'!$Q$15="",0,IF($B461&lt;'信用保険料計算書（上限2000万）'!$Q$15,0,IF($B461&gt;'信用保険料計算書（上限2000万）'!$Q$16,0,1)))</f>
        <v>0</v>
      </c>
      <c r="Q461" s="209">
        <f>IF(P461=1,HLOOKUP(C461,'計算書（第7回）'!$C$123:$U$124,2,TRUE),0)</f>
        <v>0</v>
      </c>
      <c r="R461" s="213"/>
      <c r="S461" s="211">
        <f>COUNTIF($AB$13:$AB$19,"&lt;=2031/6/1")</f>
        <v>2</v>
      </c>
      <c r="T461" s="178">
        <f t="shared" si="61"/>
        <v>44743</v>
      </c>
      <c r="U461" s="181">
        <f t="shared" si="62"/>
        <v>0</v>
      </c>
      <c r="V461" s="182">
        <f t="shared" si="63"/>
        <v>0</v>
      </c>
      <c r="W461" s="245">
        <f t="shared" si="60"/>
        <v>0</v>
      </c>
      <c r="X461" s="182"/>
    </row>
    <row r="462" spans="2:24">
      <c r="B462" s="214">
        <f t="shared" si="64"/>
        <v>54605</v>
      </c>
      <c r="C462" s="198">
        <f t="shared" si="47"/>
        <v>54575</v>
      </c>
      <c r="D462" s="209">
        <f>IF(B462&lt;'信用保険料計算書（上限2000万）'!$E$15,0,IF(B462&gt;'信用保険料計算書（上限2000万）'!$E$16,0,1))</f>
        <v>0</v>
      </c>
      <c r="E462" s="209">
        <f>IF(D462=1,HLOOKUP(C462,'計算書（第1回）'!$C$123:$U$124,2,TRUE),0)</f>
        <v>0</v>
      </c>
      <c r="F462" s="209">
        <f>IF('信用保険料計算書（上限2000万）'!$G$15="",0,IF($B462&lt;'信用保険料計算書（上限2000万）'!$G$15,0,IF($B462&gt;'信用保険料計算書（上限2000万）'!$G$16,0,1)))</f>
        <v>0</v>
      </c>
      <c r="G462" s="209">
        <f>IF(F462=1,HLOOKUP(C462,'計算書（第2回）'!$C$123:$U$124,2,TRUE),0)</f>
        <v>0</v>
      </c>
      <c r="H462" s="209">
        <f>IF('信用保険料計算書（上限2000万）'!$I$15="",0,IF($B462&lt;'信用保険料計算書（上限2000万）'!$I$15,0,IF($B462&gt;'信用保険料計算書（上限2000万）'!$I$16,0,1)))</f>
        <v>0</v>
      </c>
      <c r="I462" s="209">
        <f>IF(H462=1,HLOOKUP(C462,'計算書（第3回）'!$C$123:$U$124,2,TRUE),0)</f>
        <v>0</v>
      </c>
      <c r="J462" s="209">
        <f>IF('信用保険料計算書（上限2000万）'!$K$15="",0,IF($B462&lt;'信用保険料計算書（上限2000万）'!$K$15,0,IF($B462&gt;'信用保険料計算書（上限2000万）'!$K$16,0,1)))</f>
        <v>0</v>
      </c>
      <c r="K462" s="209">
        <f>IF(J462=1,HLOOKUP(C462,'計算書（第4回）'!$C$123:$U$124,2,TRUE),0)</f>
        <v>0</v>
      </c>
      <c r="L462" s="209">
        <f>IF('信用保険料計算書（上限2000万）'!$M$15="",0,IF($B462&lt;'信用保険料計算書（上限2000万）'!$M$15,0,IF($B462&gt;'信用保険料計算書（上限2000万）'!$M$16,0,1)))</f>
        <v>0</v>
      </c>
      <c r="M462" s="209">
        <f>IF(L462=1,HLOOKUP(C462,'計算書（第5回）'!$C$123:$U$124,2,TRUE),0)</f>
        <v>0</v>
      </c>
      <c r="N462" s="209">
        <f>IF('信用保険料計算書（上限2000万）'!$O$15="",0,IF($B462&lt;'信用保険料計算書（上限2000万）'!$O$15,0,IF($B462&gt;'信用保険料計算書（上限2000万）'!$O$16,0,1)))</f>
        <v>0</v>
      </c>
      <c r="O462" s="209">
        <f>IF(N462=1,HLOOKUP(C462,'計算書（第6回）'!$C$123:$U$124,2,TRUE),0)</f>
        <v>0</v>
      </c>
      <c r="P462" s="209">
        <f>IF('信用保険料計算書（上限2000万）'!$Q$15="",0,IF($B462&lt;'信用保険料計算書（上限2000万）'!$Q$15,0,IF($B462&gt;'信用保険料計算書（上限2000万）'!$Q$16,0,1)))</f>
        <v>0</v>
      </c>
      <c r="Q462" s="209">
        <f>IF(P462=1,HLOOKUP(C462,'計算書（第7回）'!$C$123:$U$124,2,TRUE),0)</f>
        <v>0</v>
      </c>
      <c r="R462" s="213"/>
      <c r="S462" s="211">
        <f>COUNTIF($AB$13:$AB$19,"&lt;=2031/7/1")</f>
        <v>2</v>
      </c>
      <c r="T462" s="178">
        <f t="shared" si="61"/>
        <v>44743</v>
      </c>
      <c r="U462" s="181">
        <f t="shared" si="62"/>
        <v>0</v>
      </c>
      <c r="V462" s="182">
        <f t="shared" si="63"/>
        <v>0</v>
      </c>
      <c r="W462" s="245">
        <f t="shared" si="60"/>
        <v>0</v>
      </c>
      <c r="X462" s="182"/>
    </row>
    <row r="463" spans="2:24">
      <c r="B463" s="214">
        <f t="shared" si="64"/>
        <v>54636</v>
      </c>
      <c r="C463" s="198">
        <f t="shared" si="47"/>
        <v>54605</v>
      </c>
      <c r="D463" s="209">
        <f>IF(B463&lt;'信用保険料計算書（上限2000万）'!$E$15,0,IF(B463&gt;'信用保険料計算書（上限2000万）'!$E$16,0,1))</f>
        <v>0</v>
      </c>
      <c r="E463" s="209">
        <f>IF(D463=1,HLOOKUP(C463,'計算書（第1回）'!$C$123:$U$124,2,TRUE),0)</f>
        <v>0</v>
      </c>
      <c r="F463" s="209">
        <f>IF('信用保険料計算書（上限2000万）'!$G$15="",0,IF($B463&lt;'信用保険料計算書（上限2000万）'!$G$15,0,IF($B463&gt;'信用保険料計算書（上限2000万）'!$G$16,0,1)))</f>
        <v>0</v>
      </c>
      <c r="G463" s="209">
        <f>IF(F463=1,HLOOKUP(C463,'計算書（第2回）'!$C$123:$U$124,2,TRUE),0)</f>
        <v>0</v>
      </c>
      <c r="H463" s="209">
        <f>IF('信用保険料計算書（上限2000万）'!$I$15="",0,IF($B463&lt;'信用保険料計算書（上限2000万）'!$I$15,0,IF($B463&gt;'信用保険料計算書（上限2000万）'!$I$16,0,1)))</f>
        <v>0</v>
      </c>
      <c r="I463" s="209">
        <f>IF(H463=1,HLOOKUP(C463,'計算書（第3回）'!$C$123:$U$124,2,TRUE),0)</f>
        <v>0</v>
      </c>
      <c r="J463" s="209">
        <f>IF('信用保険料計算書（上限2000万）'!$K$15="",0,IF($B463&lt;'信用保険料計算書（上限2000万）'!$K$15,0,IF($B463&gt;'信用保険料計算書（上限2000万）'!$K$16,0,1)))</f>
        <v>0</v>
      </c>
      <c r="K463" s="209">
        <f>IF(J463=1,HLOOKUP(C463,'計算書（第4回）'!$C$123:$U$124,2,TRUE),0)</f>
        <v>0</v>
      </c>
      <c r="L463" s="209">
        <f>IF('信用保険料計算書（上限2000万）'!$M$15="",0,IF($B463&lt;'信用保険料計算書（上限2000万）'!$M$15,0,IF($B463&gt;'信用保険料計算書（上限2000万）'!$M$16,0,1)))</f>
        <v>0</v>
      </c>
      <c r="M463" s="209">
        <f>IF(L463=1,HLOOKUP(C463,'計算書（第5回）'!$C$123:$U$124,2,TRUE),0)</f>
        <v>0</v>
      </c>
      <c r="N463" s="209">
        <f>IF('信用保険料計算書（上限2000万）'!$O$15="",0,IF($B463&lt;'信用保険料計算書（上限2000万）'!$O$15,0,IF($B463&gt;'信用保険料計算書（上限2000万）'!$O$16,0,1)))</f>
        <v>0</v>
      </c>
      <c r="O463" s="209">
        <f>IF(N463=1,HLOOKUP(C463,'計算書（第6回）'!$C$123:$U$124,2,TRUE),0)</f>
        <v>0</v>
      </c>
      <c r="P463" s="209">
        <f>IF('信用保険料計算書（上限2000万）'!$Q$15="",0,IF($B463&lt;'信用保険料計算書（上限2000万）'!$Q$15,0,IF($B463&gt;'信用保険料計算書（上限2000万）'!$Q$16,0,1)))</f>
        <v>0</v>
      </c>
      <c r="Q463" s="209">
        <f>IF(P463=1,HLOOKUP(C463,'計算書（第7回）'!$C$123:$U$124,2,TRUE),0)</f>
        <v>0</v>
      </c>
      <c r="R463" s="213"/>
      <c r="S463" s="211">
        <f>COUNTIF($AB$13:$AB$19,"&lt;=2031/8/1")</f>
        <v>2</v>
      </c>
      <c r="T463" s="178">
        <f t="shared" si="61"/>
        <v>44743</v>
      </c>
      <c r="U463" s="181">
        <f t="shared" si="62"/>
        <v>0</v>
      </c>
      <c r="V463" s="182">
        <f t="shared" si="63"/>
        <v>0</v>
      </c>
      <c r="W463" s="245">
        <f t="shared" si="60"/>
        <v>0</v>
      </c>
      <c r="X463" s="182"/>
    </row>
    <row r="464" spans="2:24">
      <c r="B464" s="214">
        <f t="shared" si="64"/>
        <v>54667</v>
      </c>
      <c r="C464" s="198">
        <f t="shared" si="47"/>
        <v>54636</v>
      </c>
      <c r="D464" s="209">
        <f>IF(B464&lt;'信用保険料計算書（上限2000万）'!$E$15,0,IF(B464&gt;'信用保険料計算書（上限2000万）'!$E$16,0,1))</f>
        <v>0</v>
      </c>
      <c r="E464" s="209">
        <f>IF(D464=1,HLOOKUP(C464,'計算書（第1回）'!$C$123:$U$124,2,TRUE),0)</f>
        <v>0</v>
      </c>
      <c r="F464" s="209">
        <f>IF('信用保険料計算書（上限2000万）'!$G$15="",0,IF($B464&lt;'信用保険料計算書（上限2000万）'!$G$15,0,IF($B464&gt;'信用保険料計算書（上限2000万）'!$G$16,0,1)))</f>
        <v>0</v>
      </c>
      <c r="G464" s="209">
        <f>IF(F464=1,HLOOKUP(C464,'計算書（第2回）'!$C$123:$U$124,2,TRUE),0)</f>
        <v>0</v>
      </c>
      <c r="H464" s="209">
        <f>IF('信用保険料計算書（上限2000万）'!$I$15="",0,IF($B464&lt;'信用保険料計算書（上限2000万）'!$I$15,0,IF($B464&gt;'信用保険料計算書（上限2000万）'!$I$16,0,1)))</f>
        <v>0</v>
      </c>
      <c r="I464" s="209">
        <f>IF(H464=1,HLOOKUP(C464,'計算書（第3回）'!$C$123:$U$124,2,TRUE),0)</f>
        <v>0</v>
      </c>
      <c r="J464" s="209">
        <f>IF('信用保険料計算書（上限2000万）'!$K$15="",0,IF($B464&lt;'信用保険料計算書（上限2000万）'!$K$15,0,IF($B464&gt;'信用保険料計算書（上限2000万）'!$K$16,0,1)))</f>
        <v>0</v>
      </c>
      <c r="K464" s="209">
        <f>IF(J464=1,HLOOKUP(C464,'計算書（第4回）'!$C$123:$U$124,2,TRUE),0)</f>
        <v>0</v>
      </c>
      <c r="L464" s="209">
        <f>IF('信用保険料計算書（上限2000万）'!$M$15="",0,IF($B464&lt;'信用保険料計算書（上限2000万）'!$M$15,0,IF($B464&gt;'信用保険料計算書（上限2000万）'!$M$16,0,1)))</f>
        <v>0</v>
      </c>
      <c r="M464" s="209">
        <f>IF(L464=1,HLOOKUP(C464,'計算書（第5回）'!$C$123:$U$124,2,TRUE),0)</f>
        <v>0</v>
      </c>
      <c r="N464" s="209">
        <f>IF('信用保険料計算書（上限2000万）'!$O$15="",0,IF($B464&lt;'信用保険料計算書（上限2000万）'!$O$15,0,IF($B464&gt;'信用保険料計算書（上限2000万）'!$O$16,0,1)))</f>
        <v>0</v>
      </c>
      <c r="O464" s="209">
        <f>IF(N464=1,HLOOKUP(C464,'計算書（第6回）'!$C$123:$U$124,2,TRUE),0)</f>
        <v>0</v>
      </c>
      <c r="P464" s="209">
        <f>IF('信用保険料計算書（上限2000万）'!$Q$15="",0,IF($B464&lt;'信用保険料計算書（上限2000万）'!$Q$15,0,IF($B464&gt;'信用保険料計算書（上限2000万）'!$Q$16,0,1)))</f>
        <v>0</v>
      </c>
      <c r="Q464" s="209">
        <f>IF(P464=1,HLOOKUP(C464,'計算書（第7回）'!$C$123:$U$124,2,TRUE),0)</f>
        <v>0</v>
      </c>
      <c r="R464" s="213"/>
      <c r="S464" s="211">
        <f>COUNTIF($AB$13:$AB$19,"&lt;=2031/9/1")</f>
        <v>2</v>
      </c>
      <c r="T464" s="178">
        <f t="shared" si="61"/>
        <v>44743</v>
      </c>
      <c r="U464" s="181">
        <f t="shared" si="62"/>
        <v>0</v>
      </c>
      <c r="V464" s="182">
        <f t="shared" si="63"/>
        <v>0</v>
      </c>
      <c r="W464" s="245">
        <f t="shared" si="60"/>
        <v>0</v>
      </c>
      <c r="X464" s="183">
        <f>INT(SUM(W459:W464))</f>
        <v>0</v>
      </c>
    </row>
    <row r="465" spans="2:24">
      <c r="B465" s="214">
        <f t="shared" si="64"/>
        <v>54697</v>
      </c>
      <c r="C465" s="198">
        <f t="shared" si="47"/>
        <v>54667</v>
      </c>
      <c r="D465" s="209">
        <f>IF(B465&lt;'信用保険料計算書（上限2000万）'!$E$15,0,IF(B465&gt;'信用保険料計算書（上限2000万）'!$E$16,0,1))</f>
        <v>0</v>
      </c>
      <c r="E465" s="209">
        <f>IF(D465=1,HLOOKUP(C465,'計算書（第1回）'!$C$123:$U$124,2,TRUE),0)</f>
        <v>0</v>
      </c>
      <c r="F465" s="209">
        <f>IF('信用保険料計算書（上限2000万）'!$G$15="",0,IF($B465&lt;'信用保険料計算書（上限2000万）'!$G$15,0,IF($B465&gt;'信用保険料計算書（上限2000万）'!$G$16,0,1)))</f>
        <v>0</v>
      </c>
      <c r="G465" s="209">
        <f>IF(F465=1,HLOOKUP(C465,'計算書（第2回）'!$C$123:$U$124,2,TRUE),0)</f>
        <v>0</v>
      </c>
      <c r="H465" s="209">
        <f>IF('信用保険料計算書（上限2000万）'!$I$15="",0,IF($B465&lt;'信用保険料計算書（上限2000万）'!$I$15,0,IF($B465&gt;'信用保険料計算書（上限2000万）'!$I$16,0,1)))</f>
        <v>0</v>
      </c>
      <c r="I465" s="209">
        <f>IF(H465=1,HLOOKUP(C465,'計算書（第3回）'!$C$123:$U$124,2,TRUE),0)</f>
        <v>0</v>
      </c>
      <c r="J465" s="209">
        <f>IF('信用保険料計算書（上限2000万）'!$K$15="",0,IF($B465&lt;'信用保険料計算書（上限2000万）'!$K$15,0,IF($B465&gt;'信用保険料計算書（上限2000万）'!$K$16,0,1)))</f>
        <v>0</v>
      </c>
      <c r="K465" s="209">
        <f>IF(J465=1,HLOOKUP(C465,'計算書（第4回）'!$C$123:$U$124,2,TRUE),0)</f>
        <v>0</v>
      </c>
      <c r="L465" s="209">
        <f>IF('信用保険料計算書（上限2000万）'!$M$15="",0,IF($B465&lt;'信用保険料計算書（上限2000万）'!$M$15,0,IF($B465&gt;'信用保険料計算書（上限2000万）'!$M$16,0,1)))</f>
        <v>0</v>
      </c>
      <c r="M465" s="209">
        <f>IF(L465=1,HLOOKUP(C465,'計算書（第5回）'!$C$123:$U$124,2,TRUE),0)</f>
        <v>0</v>
      </c>
      <c r="N465" s="209">
        <f>IF('信用保険料計算書（上限2000万）'!$O$15="",0,IF($B465&lt;'信用保険料計算書（上限2000万）'!$O$15,0,IF($B465&gt;'信用保険料計算書（上限2000万）'!$O$16,0,1)))</f>
        <v>0</v>
      </c>
      <c r="O465" s="209">
        <f>IF(N465=1,HLOOKUP(C465,'計算書（第6回）'!$C$123:$U$124,2,TRUE),0)</f>
        <v>0</v>
      </c>
      <c r="P465" s="209">
        <f>IF('信用保険料計算書（上限2000万）'!$Q$15="",0,IF($B465&lt;'信用保険料計算書（上限2000万）'!$Q$15,0,IF($B465&gt;'信用保険料計算書（上限2000万）'!$Q$16,0,1)))</f>
        <v>0</v>
      </c>
      <c r="Q465" s="209">
        <f>IF(P465=1,HLOOKUP(C465,'計算書（第7回）'!$C$123:$U$124,2,TRUE),0)</f>
        <v>0</v>
      </c>
      <c r="R465" s="213"/>
      <c r="S465" s="211">
        <f>COUNTIF($AB$13:$AB$19,"&lt;=2031/10/1")</f>
        <v>2</v>
      </c>
      <c r="T465" s="178">
        <f t="shared" si="61"/>
        <v>44743</v>
      </c>
      <c r="U465" s="181">
        <f t="shared" si="62"/>
        <v>0</v>
      </c>
      <c r="V465" s="182">
        <f t="shared" si="63"/>
        <v>0</v>
      </c>
      <c r="W465" s="245">
        <f t="shared" si="60"/>
        <v>0</v>
      </c>
      <c r="X465" s="182"/>
    </row>
    <row r="466" spans="2:24">
      <c r="B466" s="214">
        <f t="shared" si="64"/>
        <v>54728</v>
      </c>
      <c r="C466" s="198">
        <f t="shared" si="47"/>
        <v>54697</v>
      </c>
      <c r="D466" s="209">
        <f>IF(B466&lt;'信用保険料計算書（上限2000万）'!$E$15,0,IF(B466&gt;'信用保険料計算書（上限2000万）'!$E$16,0,1))</f>
        <v>0</v>
      </c>
      <c r="E466" s="209">
        <f>IF(D466=1,HLOOKUP(C466,'計算書（第1回）'!$C$123:$U$124,2,TRUE),0)</f>
        <v>0</v>
      </c>
      <c r="F466" s="209">
        <f>IF('信用保険料計算書（上限2000万）'!$G$15="",0,IF($B466&lt;'信用保険料計算書（上限2000万）'!$G$15,0,IF($B466&gt;'信用保険料計算書（上限2000万）'!$G$16,0,1)))</f>
        <v>0</v>
      </c>
      <c r="G466" s="209">
        <f>IF(F466=1,HLOOKUP(C466,'計算書（第2回）'!$C$123:$U$124,2,TRUE),0)</f>
        <v>0</v>
      </c>
      <c r="H466" s="209">
        <f>IF('信用保険料計算書（上限2000万）'!$I$15="",0,IF($B466&lt;'信用保険料計算書（上限2000万）'!$I$15,0,IF($B466&gt;'信用保険料計算書（上限2000万）'!$I$16,0,1)))</f>
        <v>0</v>
      </c>
      <c r="I466" s="209">
        <f>IF(H466=1,HLOOKUP(C466,'計算書（第3回）'!$C$123:$U$124,2,TRUE),0)</f>
        <v>0</v>
      </c>
      <c r="J466" s="209">
        <f>IF('信用保険料計算書（上限2000万）'!$K$15="",0,IF($B466&lt;'信用保険料計算書（上限2000万）'!$K$15,0,IF($B466&gt;'信用保険料計算書（上限2000万）'!$K$16,0,1)))</f>
        <v>0</v>
      </c>
      <c r="K466" s="209">
        <f>IF(J466=1,HLOOKUP(C466,'計算書（第4回）'!$C$123:$U$124,2,TRUE),0)</f>
        <v>0</v>
      </c>
      <c r="L466" s="209">
        <f>IF('信用保険料計算書（上限2000万）'!$M$15="",0,IF($B466&lt;'信用保険料計算書（上限2000万）'!$M$15,0,IF($B466&gt;'信用保険料計算書（上限2000万）'!$M$16,0,1)))</f>
        <v>0</v>
      </c>
      <c r="M466" s="209">
        <f>IF(L466=1,HLOOKUP(C466,'計算書（第5回）'!$C$123:$U$124,2,TRUE),0)</f>
        <v>0</v>
      </c>
      <c r="N466" s="209">
        <f>IF('信用保険料計算書（上限2000万）'!$O$15="",0,IF($B466&lt;'信用保険料計算書（上限2000万）'!$O$15,0,IF($B466&gt;'信用保険料計算書（上限2000万）'!$O$16,0,1)))</f>
        <v>0</v>
      </c>
      <c r="O466" s="209">
        <f>IF(N466=1,HLOOKUP(C466,'計算書（第6回）'!$C$123:$U$124,2,TRUE),0)</f>
        <v>0</v>
      </c>
      <c r="P466" s="209">
        <f>IF('信用保険料計算書（上限2000万）'!$Q$15="",0,IF($B466&lt;'信用保険料計算書（上限2000万）'!$Q$15,0,IF($B466&gt;'信用保険料計算書（上限2000万）'!$Q$16,0,1)))</f>
        <v>0</v>
      </c>
      <c r="Q466" s="209">
        <f>IF(P466=1,HLOOKUP(C466,'計算書（第7回）'!$C$123:$U$124,2,TRUE),0)</f>
        <v>0</v>
      </c>
      <c r="R466" s="213"/>
      <c r="S466" s="211">
        <f>COUNTIF($AB$13:$AB$19,"&lt;=2031/11/1")</f>
        <v>2</v>
      </c>
      <c r="T466" s="178">
        <f t="shared" si="61"/>
        <v>44743</v>
      </c>
      <c r="U466" s="181">
        <f t="shared" si="62"/>
        <v>0</v>
      </c>
      <c r="V466" s="182">
        <f t="shared" si="63"/>
        <v>0</v>
      </c>
      <c r="W466" s="245">
        <f t="shared" si="60"/>
        <v>0</v>
      </c>
      <c r="X466" s="182"/>
    </row>
    <row r="467" spans="2:24">
      <c r="B467" s="214">
        <f t="shared" si="64"/>
        <v>54758</v>
      </c>
      <c r="C467" s="198">
        <f t="shared" si="47"/>
        <v>54728</v>
      </c>
      <c r="D467" s="209">
        <f>IF(B467&lt;'信用保険料計算書（上限2000万）'!$E$15,0,IF(B467&gt;'信用保険料計算書（上限2000万）'!$E$16,0,1))</f>
        <v>0</v>
      </c>
      <c r="E467" s="209">
        <f>IF(D467=1,HLOOKUP(C467,'計算書（第1回）'!$C$123:$U$124,2,TRUE),0)</f>
        <v>0</v>
      </c>
      <c r="F467" s="209">
        <f>IF('信用保険料計算書（上限2000万）'!$G$15="",0,IF($B467&lt;'信用保険料計算書（上限2000万）'!$G$15,0,IF($B467&gt;'信用保険料計算書（上限2000万）'!$G$16,0,1)))</f>
        <v>0</v>
      </c>
      <c r="G467" s="209">
        <f>IF(F467=1,HLOOKUP(C467,'計算書（第2回）'!$C$123:$U$124,2,TRUE),0)</f>
        <v>0</v>
      </c>
      <c r="H467" s="209">
        <f>IF('信用保険料計算書（上限2000万）'!$I$15="",0,IF($B467&lt;'信用保険料計算書（上限2000万）'!$I$15,0,IF($B467&gt;'信用保険料計算書（上限2000万）'!$I$16,0,1)))</f>
        <v>0</v>
      </c>
      <c r="I467" s="209">
        <f>IF(H467=1,HLOOKUP(C467,'計算書（第3回）'!$C$123:$U$124,2,TRUE),0)</f>
        <v>0</v>
      </c>
      <c r="J467" s="209">
        <f>IF('信用保険料計算書（上限2000万）'!$K$15="",0,IF($B467&lt;'信用保険料計算書（上限2000万）'!$K$15,0,IF($B467&gt;'信用保険料計算書（上限2000万）'!$K$16,0,1)))</f>
        <v>0</v>
      </c>
      <c r="K467" s="209">
        <f>IF(J467=1,HLOOKUP(C467,'計算書（第4回）'!$C$123:$U$124,2,TRUE),0)</f>
        <v>0</v>
      </c>
      <c r="L467" s="209">
        <f>IF('信用保険料計算書（上限2000万）'!$M$15="",0,IF($B467&lt;'信用保険料計算書（上限2000万）'!$M$15,0,IF($B467&gt;'信用保険料計算書（上限2000万）'!$M$16,0,1)))</f>
        <v>0</v>
      </c>
      <c r="M467" s="209">
        <f>IF(L467=1,HLOOKUP(C467,'計算書（第5回）'!$C$123:$U$124,2,TRUE),0)</f>
        <v>0</v>
      </c>
      <c r="N467" s="209">
        <f>IF('信用保険料計算書（上限2000万）'!$O$15="",0,IF($B467&lt;'信用保険料計算書（上限2000万）'!$O$15,0,IF($B467&gt;'信用保険料計算書（上限2000万）'!$O$16,0,1)))</f>
        <v>0</v>
      </c>
      <c r="O467" s="209">
        <f>IF(N467=1,HLOOKUP(C467,'計算書（第6回）'!$C$123:$U$124,2,TRUE),0)</f>
        <v>0</v>
      </c>
      <c r="P467" s="209">
        <f>IF('信用保険料計算書（上限2000万）'!$Q$15="",0,IF($B467&lt;'信用保険料計算書（上限2000万）'!$Q$15,0,IF($B467&gt;'信用保険料計算書（上限2000万）'!$Q$16,0,1)))</f>
        <v>0</v>
      </c>
      <c r="Q467" s="209">
        <f>IF(P467=1,HLOOKUP(C467,'計算書（第7回）'!$C$123:$U$124,2,TRUE),0)</f>
        <v>0</v>
      </c>
      <c r="R467" s="213"/>
      <c r="S467" s="211">
        <f>COUNTIF($AB$13:$AB$19,"&lt;=2031/12/1")</f>
        <v>2</v>
      </c>
      <c r="T467" s="178">
        <f t="shared" si="61"/>
        <v>44743</v>
      </c>
      <c r="U467" s="181">
        <f t="shared" si="62"/>
        <v>0</v>
      </c>
      <c r="V467" s="182">
        <f t="shared" si="63"/>
        <v>0</v>
      </c>
      <c r="W467" s="245">
        <f t="shared" si="60"/>
        <v>0</v>
      </c>
      <c r="X467" s="182"/>
    </row>
    <row r="468" spans="2:24">
      <c r="B468" s="214">
        <f t="shared" si="64"/>
        <v>54789</v>
      </c>
      <c r="C468" s="198">
        <f t="shared" si="47"/>
        <v>54758</v>
      </c>
      <c r="D468" s="209">
        <f>IF(B468&lt;'信用保険料計算書（上限2000万）'!$E$15,0,IF(B468&gt;'信用保険料計算書（上限2000万）'!$E$16,0,1))</f>
        <v>0</v>
      </c>
      <c r="E468" s="209">
        <f>IF(D468=1,HLOOKUP(C468,'計算書（第1回）'!$C$123:$U$124,2,TRUE),0)</f>
        <v>0</v>
      </c>
      <c r="F468" s="209">
        <f>IF('信用保険料計算書（上限2000万）'!$G$15="",0,IF($B468&lt;'信用保険料計算書（上限2000万）'!$G$15,0,IF($B468&gt;'信用保険料計算書（上限2000万）'!$G$16,0,1)))</f>
        <v>0</v>
      </c>
      <c r="G468" s="209">
        <f>IF(F468=1,HLOOKUP(C468,'計算書（第2回）'!$C$123:$U$124,2,TRUE),0)</f>
        <v>0</v>
      </c>
      <c r="H468" s="209">
        <f>IF('信用保険料計算書（上限2000万）'!$I$15="",0,IF($B468&lt;'信用保険料計算書（上限2000万）'!$I$15,0,IF($B468&gt;'信用保険料計算書（上限2000万）'!$I$16,0,1)))</f>
        <v>0</v>
      </c>
      <c r="I468" s="209">
        <f>IF(H468=1,HLOOKUP(C468,'計算書（第3回）'!$C$123:$U$124,2,TRUE),0)</f>
        <v>0</v>
      </c>
      <c r="J468" s="209">
        <f>IF('信用保険料計算書（上限2000万）'!$K$15="",0,IF($B468&lt;'信用保険料計算書（上限2000万）'!$K$15,0,IF($B468&gt;'信用保険料計算書（上限2000万）'!$K$16,0,1)))</f>
        <v>0</v>
      </c>
      <c r="K468" s="209">
        <f>IF(J468=1,HLOOKUP(C468,'計算書（第4回）'!$C$123:$U$124,2,TRUE),0)</f>
        <v>0</v>
      </c>
      <c r="L468" s="209">
        <f>IF('信用保険料計算書（上限2000万）'!$M$15="",0,IF($B468&lt;'信用保険料計算書（上限2000万）'!$M$15,0,IF($B468&gt;'信用保険料計算書（上限2000万）'!$M$16,0,1)))</f>
        <v>0</v>
      </c>
      <c r="M468" s="209">
        <f>IF(L468=1,HLOOKUP(C468,'計算書（第5回）'!$C$123:$U$124,2,TRUE),0)</f>
        <v>0</v>
      </c>
      <c r="N468" s="209">
        <f>IF('信用保険料計算書（上限2000万）'!$O$15="",0,IF($B468&lt;'信用保険料計算書（上限2000万）'!$O$15,0,IF($B468&gt;'信用保険料計算書（上限2000万）'!$O$16,0,1)))</f>
        <v>0</v>
      </c>
      <c r="O468" s="209">
        <f>IF(N468=1,HLOOKUP(C468,'計算書（第6回）'!$C$123:$U$124,2,TRUE),0)</f>
        <v>0</v>
      </c>
      <c r="P468" s="209">
        <f>IF('信用保険料計算書（上限2000万）'!$Q$15="",0,IF($B468&lt;'信用保険料計算書（上限2000万）'!$Q$15,0,IF($B468&gt;'信用保険料計算書（上限2000万）'!$Q$16,0,1)))</f>
        <v>0</v>
      </c>
      <c r="Q468" s="209">
        <f>IF(P468=1,HLOOKUP(C468,'計算書（第7回）'!$C$123:$U$124,2,TRUE),0)</f>
        <v>0</v>
      </c>
      <c r="R468" s="212"/>
      <c r="S468" s="211">
        <f>COUNTIF($AB$13:$AB$19,"&lt;=2032/1/1")</f>
        <v>2</v>
      </c>
      <c r="T468" s="178">
        <f t="shared" si="61"/>
        <v>44743</v>
      </c>
      <c r="U468" s="181">
        <f t="shared" si="62"/>
        <v>0</v>
      </c>
      <c r="V468" s="182">
        <f t="shared" si="63"/>
        <v>0</v>
      </c>
      <c r="W468" s="245">
        <f t="shared" si="60"/>
        <v>0</v>
      </c>
      <c r="X468" s="182"/>
    </row>
    <row r="469" spans="2:24">
      <c r="B469" s="214">
        <f t="shared" si="64"/>
        <v>54820</v>
      </c>
      <c r="C469" s="198">
        <f t="shared" si="47"/>
        <v>54789</v>
      </c>
      <c r="D469" s="209">
        <f>IF(B469&lt;'信用保険料計算書（上限2000万）'!$E$15,0,IF(B469&gt;'信用保険料計算書（上限2000万）'!$E$16,0,1))</f>
        <v>0</v>
      </c>
      <c r="E469" s="209">
        <f>IF(D469=1,HLOOKUP(C469,'計算書（第1回）'!$C$123:$U$124,2,TRUE),0)</f>
        <v>0</v>
      </c>
      <c r="F469" s="209">
        <f>IF('信用保険料計算書（上限2000万）'!$G$15="",0,IF($B469&lt;'信用保険料計算書（上限2000万）'!$G$15,0,IF($B469&gt;'信用保険料計算書（上限2000万）'!$G$16,0,1)))</f>
        <v>0</v>
      </c>
      <c r="G469" s="209">
        <f>IF(F469=1,HLOOKUP(C469,'計算書（第2回）'!$C$123:$U$124,2,TRUE),0)</f>
        <v>0</v>
      </c>
      <c r="H469" s="209">
        <f>IF('信用保険料計算書（上限2000万）'!$I$15="",0,IF($B469&lt;'信用保険料計算書（上限2000万）'!$I$15,0,IF($B469&gt;'信用保険料計算書（上限2000万）'!$I$16,0,1)))</f>
        <v>0</v>
      </c>
      <c r="I469" s="209">
        <f>IF(H469=1,HLOOKUP(C469,'計算書（第3回）'!$C$123:$U$124,2,TRUE),0)</f>
        <v>0</v>
      </c>
      <c r="J469" s="209">
        <f>IF('信用保険料計算書（上限2000万）'!$K$15="",0,IF($B469&lt;'信用保険料計算書（上限2000万）'!$K$15,0,IF($B469&gt;'信用保険料計算書（上限2000万）'!$K$16,0,1)))</f>
        <v>0</v>
      </c>
      <c r="K469" s="209">
        <f>IF(J469=1,HLOOKUP(C469,'計算書（第4回）'!$C$123:$U$124,2,TRUE),0)</f>
        <v>0</v>
      </c>
      <c r="L469" s="209">
        <f>IF('信用保険料計算書（上限2000万）'!$M$15="",0,IF($B469&lt;'信用保険料計算書（上限2000万）'!$M$15,0,IF($B469&gt;'信用保険料計算書（上限2000万）'!$M$16,0,1)))</f>
        <v>0</v>
      </c>
      <c r="M469" s="209">
        <f>IF(L469=1,HLOOKUP(C469,'計算書（第5回）'!$C$123:$U$124,2,TRUE),0)</f>
        <v>0</v>
      </c>
      <c r="N469" s="209">
        <f>IF('信用保険料計算書（上限2000万）'!$O$15="",0,IF($B469&lt;'信用保険料計算書（上限2000万）'!$O$15,0,IF($B469&gt;'信用保険料計算書（上限2000万）'!$O$16,0,1)))</f>
        <v>0</v>
      </c>
      <c r="O469" s="209">
        <f>IF(N469=1,HLOOKUP(C469,'計算書（第6回）'!$C$123:$U$124,2,TRUE),0)</f>
        <v>0</v>
      </c>
      <c r="P469" s="209">
        <f>IF('信用保険料計算書（上限2000万）'!$Q$15="",0,IF($B469&lt;'信用保険料計算書（上限2000万）'!$Q$15,0,IF($B469&gt;'信用保険料計算書（上限2000万）'!$Q$16,0,1)))</f>
        <v>0</v>
      </c>
      <c r="Q469" s="209">
        <f>IF(P469=1,HLOOKUP(C469,'計算書（第7回）'!$C$123:$U$124,2,TRUE),0)</f>
        <v>0</v>
      </c>
      <c r="R469" s="212"/>
      <c r="S469" s="211">
        <f>COUNTIF($AB$13:$AB$19,"&lt;=2032/2/1")</f>
        <v>2</v>
      </c>
      <c r="T469" s="178">
        <f t="shared" si="61"/>
        <v>44743</v>
      </c>
      <c r="U469" s="181">
        <f t="shared" si="62"/>
        <v>0</v>
      </c>
      <c r="V469" s="182">
        <f t="shared" si="63"/>
        <v>0</v>
      </c>
      <c r="W469" s="245">
        <f t="shared" si="60"/>
        <v>0</v>
      </c>
      <c r="X469" s="182"/>
    </row>
    <row r="470" spans="2:24">
      <c r="B470" s="214">
        <f t="shared" si="64"/>
        <v>54848</v>
      </c>
      <c r="C470" s="198">
        <f t="shared" si="47"/>
        <v>54820</v>
      </c>
      <c r="D470" s="209">
        <f>IF(B470&lt;'信用保険料計算書（上限2000万）'!$E$15,0,IF(B470&gt;'信用保険料計算書（上限2000万）'!$E$16,0,1))</f>
        <v>0</v>
      </c>
      <c r="E470" s="209">
        <f>IF(D470=1,HLOOKUP(C470,'計算書（第1回）'!$C$123:$U$124,2,TRUE),0)</f>
        <v>0</v>
      </c>
      <c r="F470" s="209">
        <f>IF('信用保険料計算書（上限2000万）'!$G$15="",0,IF($B470&lt;'信用保険料計算書（上限2000万）'!$G$15,0,IF($B470&gt;'信用保険料計算書（上限2000万）'!$G$16,0,1)))</f>
        <v>0</v>
      </c>
      <c r="G470" s="209">
        <f>IF(F470=1,HLOOKUP(C470,'計算書（第2回）'!$C$123:$U$124,2,TRUE),0)</f>
        <v>0</v>
      </c>
      <c r="H470" s="209">
        <f>IF('信用保険料計算書（上限2000万）'!$I$15="",0,IF($B470&lt;'信用保険料計算書（上限2000万）'!$I$15,0,IF($B470&gt;'信用保険料計算書（上限2000万）'!$I$16,0,1)))</f>
        <v>0</v>
      </c>
      <c r="I470" s="209">
        <f>IF(H470=1,HLOOKUP(C470,'計算書（第3回）'!$C$123:$U$124,2,TRUE),0)</f>
        <v>0</v>
      </c>
      <c r="J470" s="209">
        <f>IF('信用保険料計算書（上限2000万）'!$K$15="",0,IF($B470&lt;'信用保険料計算書（上限2000万）'!$K$15,0,IF($B470&gt;'信用保険料計算書（上限2000万）'!$K$16,0,1)))</f>
        <v>0</v>
      </c>
      <c r="K470" s="209">
        <f>IF(J470=1,HLOOKUP(C470,'計算書（第4回）'!$C$123:$U$124,2,TRUE),0)</f>
        <v>0</v>
      </c>
      <c r="L470" s="209">
        <f>IF('信用保険料計算書（上限2000万）'!$M$15="",0,IF($B470&lt;'信用保険料計算書（上限2000万）'!$M$15,0,IF($B470&gt;'信用保険料計算書（上限2000万）'!$M$16,0,1)))</f>
        <v>0</v>
      </c>
      <c r="M470" s="209">
        <f>IF(L470=1,HLOOKUP(C470,'計算書（第5回）'!$C$123:$U$124,2,TRUE),0)</f>
        <v>0</v>
      </c>
      <c r="N470" s="209">
        <f>IF('信用保険料計算書（上限2000万）'!$O$15="",0,IF($B470&lt;'信用保険料計算書（上限2000万）'!$O$15,0,IF($B470&gt;'信用保険料計算書（上限2000万）'!$O$16,0,1)))</f>
        <v>0</v>
      </c>
      <c r="O470" s="209">
        <f>IF(N470=1,HLOOKUP(C470,'計算書（第6回）'!$C$123:$U$124,2,TRUE),0)</f>
        <v>0</v>
      </c>
      <c r="P470" s="209">
        <f>IF('信用保険料計算書（上限2000万）'!$Q$15="",0,IF($B470&lt;'信用保険料計算書（上限2000万）'!$Q$15,0,IF($B470&gt;'信用保険料計算書（上限2000万）'!$Q$16,0,1)))</f>
        <v>0</v>
      </c>
      <c r="Q470" s="209">
        <f>IF(P470=1,HLOOKUP(C470,'計算書（第7回）'!$C$123:$U$124,2,TRUE),0)</f>
        <v>0</v>
      </c>
      <c r="R470" s="212"/>
      <c r="S470" s="211">
        <f>COUNTIF($AB$13:$AB$19,"&lt;=2032/3/1")</f>
        <v>2</v>
      </c>
      <c r="T470" s="178">
        <f t="shared" si="61"/>
        <v>44743</v>
      </c>
      <c r="U470" s="181">
        <f t="shared" si="62"/>
        <v>0</v>
      </c>
      <c r="V470" s="182">
        <f t="shared" si="63"/>
        <v>0</v>
      </c>
      <c r="W470" s="245">
        <f t="shared" si="60"/>
        <v>0</v>
      </c>
      <c r="X470" s="183">
        <f>INT(SUM(W465:W470))</f>
        <v>0</v>
      </c>
    </row>
    <row r="471" spans="2:24">
      <c r="B471" s="214">
        <f>EDATE(B470,1)</f>
        <v>54879</v>
      </c>
      <c r="C471" s="198">
        <f t="shared" si="47"/>
        <v>54848</v>
      </c>
      <c r="D471" s="209">
        <f>IF(B471&lt;'信用保険料計算書（上限2000万）'!$E$15,0,IF(B471&gt;'信用保険料計算書（上限2000万）'!$E$16,0,1))</f>
        <v>0</v>
      </c>
      <c r="E471" s="209">
        <f>IF(D471=1,HLOOKUP(C471,'計算書（第1回）'!$C$123:$U$124,2,TRUE),0)</f>
        <v>0</v>
      </c>
      <c r="F471" s="209">
        <f>IF('信用保険料計算書（上限2000万）'!$G$15="",0,IF($B471&lt;'信用保険料計算書（上限2000万）'!$G$15,0,IF($B471&gt;'信用保険料計算書（上限2000万）'!$G$16,0,1)))</f>
        <v>0</v>
      </c>
      <c r="G471" s="209">
        <f>IF(F471=1,HLOOKUP(C471,'計算書（第2回）'!$C$123:$U$124,2,TRUE),0)</f>
        <v>0</v>
      </c>
      <c r="H471" s="209">
        <f>IF('信用保険料計算書（上限2000万）'!$I$15="",0,IF($B471&lt;'信用保険料計算書（上限2000万）'!$I$15,0,IF($B471&gt;'信用保険料計算書（上限2000万）'!$I$16,0,1)))</f>
        <v>0</v>
      </c>
      <c r="I471" s="209">
        <f>IF(H471=1,HLOOKUP(C471,'計算書（第3回）'!$C$123:$U$124,2,TRUE),0)</f>
        <v>0</v>
      </c>
      <c r="J471" s="209">
        <f>IF('信用保険料計算書（上限2000万）'!$K$15="",0,IF($B471&lt;'信用保険料計算書（上限2000万）'!$K$15,0,IF($B471&gt;'信用保険料計算書（上限2000万）'!$K$16,0,1)))</f>
        <v>0</v>
      </c>
      <c r="K471" s="209">
        <f>IF(J471=1,HLOOKUP(C471,'計算書（第4回）'!$C$123:$U$124,2,TRUE),0)</f>
        <v>0</v>
      </c>
      <c r="L471" s="209">
        <f>IF('信用保険料計算書（上限2000万）'!$M$15="",0,IF($B471&lt;'信用保険料計算書（上限2000万）'!$M$15,0,IF($B471&gt;'信用保険料計算書（上限2000万）'!$M$16,0,1)))</f>
        <v>0</v>
      </c>
      <c r="M471" s="209">
        <f>IF(L471=1,HLOOKUP(C471,'計算書（第5回）'!$C$123:$U$124,2,TRUE),0)</f>
        <v>0</v>
      </c>
      <c r="N471" s="209">
        <f>IF('信用保険料計算書（上限2000万）'!$O$15="",0,IF($B471&lt;'信用保険料計算書（上限2000万）'!$O$15,0,IF($B471&gt;'信用保険料計算書（上限2000万）'!$O$16,0,1)))</f>
        <v>0</v>
      </c>
      <c r="O471" s="209">
        <f>IF(N471=1,HLOOKUP(C471,'計算書（第6回）'!$C$123:$U$124,2,TRUE),0)</f>
        <v>0</v>
      </c>
      <c r="P471" s="209">
        <f>IF('信用保険料計算書（上限2000万）'!$Q$15="",0,IF($B471&lt;'信用保険料計算書（上限2000万）'!$Q$15,0,IF($B471&gt;'信用保険料計算書（上限2000万）'!$Q$16,0,1)))</f>
        <v>0</v>
      </c>
      <c r="Q471" s="209">
        <f>IF(P471=1,HLOOKUP(C471,'計算書（第7回）'!$C$123:$U$124,2,TRUE),0)</f>
        <v>0</v>
      </c>
      <c r="R471" s="213"/>
      <c r="S471" s="211">
        <f>COUNTIF($AB$13:$AB$19,"&lt;=2031/4/1")</f>
        <v>2</v>
      </c>
      <c r="T471" s="178">
        <f t="shared" si="51"/>
        <v>44743</v>
      </c>
      <c r="U471" s="181">
        <f t="shared" si="48"/>
        <v>0</v>
      </c>
      <c r="V471" s="182">
        <f t="shared" ref="V471:V482" si="65">IF(U471=0,0,IF(U471&gt;VLOOKUP(T471,$AA$5:$AB$8,2,TRUE),VLOOKUP(T471,$AA$5:$AB$8,2,TRUE),U471))</f>
        <v>0</v>
      </c>
      <c r="W471" s="245">
        <f t="shared" si="60"/>
        <v>0</v>
      </c>
      <c r="X471" s="182"/>
    </row>
    <row r="472" spans="2:24">
      <c r="B472" s="214">
        <f t="shared" si="50"/>
        <v>54909</v>
      </c>
      <c r="C472" s="198">
        <f t="shared" si="47"/>
        <v>54879</v>
      </c>
      <c r="D472" s="209">
        <f>IF(B472&lt;'信用保険料計算書（上限2000万）'!$E$15,0,IF(B472&gt;'信用保険料計算書（上限2000万）'!$E$16,0,1))</f>
        <v>0</v>
      </c>
      <c r="E472" s="209">
        <f>IF(D472=1,HLOOKUP(C472,'計算書（第1回）'!$C$123:$U$124,2,TRUE),0)</f>
        <v>0</v>
      </c>
      <c r="F472" s="209">
        <f>IF('信用保険料計算書（上限2000万）'!$G$15="",0,IF($B472&lt;'信用保険料計算書（上限2000万）'!$G$15,0,IF($B472&gt;'信用保険料計算書（上限2000万）'!$G$16,0,1)))</f>
        <v>0</v>
      </c>
      <c r="G472" s="209">
        <f>IF(F472=1,HLOOKUP(C472,'計算書（第2回）'!$C$123:$U$124,2,TRUE),0)</f>
        <v>0</v>
      </c>
      <c r="H472" s="209">
        <f>IF('信用保険料計算書（上限2000万）'!$I$15="",0,IF($B472&lt;'信用保険料計算書（上限2000万）'!$I$15,0,IF($B472&gt;'信用保険料計算書（上限2000万）'!$I$16,0,1)))</f>
        <v>0</v>
      </c>
      <c r="I472" s="209">
        <f>IF(H472=1,HLOOKUP(C472,'計算書（第3回）'!$C$123:$U$124,2,TRUE),0)</f>
        <v>0</v>
      </c>
      <c r="J472" s="209">
        <f>IF('信用保険料計算書（上限2000万）'!$K$15="",0,IF($B472&lt;'信用保険料計算書（上限2000万）'!$K$15,0,IF($B472&gt;'信用保険料計算書（上限2000万）'!$K$16,0,1)))</f>
        <v>0</v>
      </c>
      <c r="K472" s="209">
        <f>IF(J472=1,HLOOKUP(C472,'計算書（第4回）'!$C$123:$U$124,2,TRUE),0)</f>
        <v>0</v>
      </c>
      <c r="L472" s="209">
        <f>IF('信用保険料計算書（上限2000万）'!$M$15="",0,IF($B472&lt;'信用保険料計算書（上限2000万）'!$M$15,0,IF($B472&gt;'信用保険料計算書（上限2000万）'!$M$16,0,1)))</f>
        <v>0</v>
      </c>
      <c r="M472" s="209">
        <f>IF(L472=1,HLOOKUP(C472,'計算書（第5回）'!$C$123:$U$124,2,TRUE),0)</f>
        <v>0</v>
      </c>
      <c r="N472" s="209">
        <f>IF('信用保険料計算書（上限2000万）'!$O$15="",0,IF($B472&lt;'信用保険料計算書（上限2000万）'!$O$15,0,IF($B472&gt;'信用保険料計算書（上限2000万）'!$O$16,0,1)))</f>
        <v>0</v>
      </c>
      <c r="O472" s="209">
        <f>IF(N472=1,HLOOKUP(C472,'計算書（第6回）'!$C$123:$U$124,2,TRUE),0)</f>
        <v>0</v>
      </c>
      <c r="P472" s="209">
        <f>IF('信用保険料計算書（上限2000万）'!$Q$15="",0,IF($B472&lt;'信用保険料計算書（上限2000万）'!$Q$15,0,IF($B472&gt;'信用保険料計算書（上限2000万）'!$Q$16,0,1)))</f>
        <v>0</v>
      </c>
      <c r="Q472" s="209">
        <f>IF(P472=1,HLOOKUP(C472,'計算書（第7回）'!$C$123:$U$124,2,TRUE),0)</f>
        <v>0</v>
      </c>
      <c r="R472" s="213"/>
      <c r="S472" s="211">
        <f>COUNTIF($AB$13:$AB$19,"&lt;=2031/5/1")</f>
        <v>2</v>
      </c>
      <c r="T472" s="178">
        <f t="shared" si="51"/>
        <v>44743</v>
      </c>
      <c r="U472" s="181">
        <f t="shared" si="48"/>
        <v>0</v>
      </c>
      <c r="V472" s="182">
        <f t="shared" si="65"/>
        <v>0</v>
      </c>
      <c r="W472" s="245">
        <f t="shared" si="60"/>
        <v>0</v>
      </c>
      <c r="X472" s="182"/>
    </row>
    <row r="473" spans="2:24">
      <c r="B473" s="214">
        <f t="shared" si="50"/>
        <v>54940</v>
      </c>
      <c r="C473" s="198">
        <f t="shared" si="47"/>
        <v>54909</v>
      </c>
      <c r="D473" s="209">
        <f>IF(B473&lt;'信用保険料計算書（上限2000万）'!$E$15,0,IF(B473&gt;'信用保険料計算書（上限2000万）'!$E$16,0,1))</f>
        <v>0</v>
      </c>
      <c r="E473" s="209">
        <f>IF(D473=1,HLOOKUP(C473,'計算書（第1回）'!$C$123:$U$124,2,TRUE),0)</f>
        <v>0</v>
      </c>
      <c r="F473" s="209">
        <f>IF('信用保険料計算書（上限2000万）'!$G$15="",0,IF($B473&lt;'信用保険料計算書（上限2000万）'!$G$15,0,IF($B473&gt;'信用保険料計算書（上限2000万）'!$G$16,0,1)))</f>
        <v>0</v>
      </c>
      <c r="G473" s="209">
        <f>IF(F473=1,HLOOKUP(C473,'計算書（第2回）'!$C$123:$U$124,2,TRUE),0)</f>
        <v>0</v>
      </c>
      <c r="H473" s="209">
        <f>IF('信用保険料計算書（上限2000万）'!$I$15="",0,IF($B473&lt;'信用保険料計算書（上限2000万）'!$I$15,0,IF($B473&gt;'信用保険料計算書（上限2000万）'!$I$16,0,1)))</f>
        <v>0</v>
      </c>
      <c r="I473" s="209">
        <f>IF(H473=1,HLOOKUP(C473,'計算書（第3回）'!$C$123:$U$124,2,TRUE),0)</f>
        <v>0</v>
      </c>
      <c r="J473" s="209">
        <f>IF('信用保険料計算書（上限2000万）'!$K$15="",0,IF($B473&lt;'信用保険料計算書（上限2000万）'!$K$15,0,IF($B473&gt;'信用保険料計算書（上限2000万）'!$K$16,0,1)))</f>
        <v>0</v>
      </c>
      <c r="K473" s="209">
        <f>IF(J473=1,HLOOKUP(C473,'計算書（第4回）'!$C$123:$U$124,2,TRUE),0)</f>
        <v>0</v>
      </c>
      <c r="L473" s="209">
        <f>IF('信用保険料計算書（上限2000万）'!$M$15="",0,IF($B473&lt;'信用保険料計算書（上限2000万）'!$M$15,0,IF($B473&gt;'信用保険料計算書（上限2000万）'!$M$16,0,1)))</f>
        <v>0</v>
      </c>
      <c r="M473" s="209">
        <f>IF(L473=1,HLOOKUP(C473,'計算書（第5回）'!$C$123:$U$124,2,TRUE),0)</f>
        <v>0</v>
      </c>
      <c r="N473" s="209">
        <f>IF('信用保険料計算書（上限2000万）'!$O$15="",0,IF($B473&lt;'信用保険料計算書（上限2000万）'!$O$15,0,IF($B473&gt;'信用保険料計算書（上限2000万）'!$O$16,0,1)))</f>
        <v>0</v>
      </c>
      <c r="O473" s="209">
        <f>IF(N473=1,HLOOKUP(C473,'計算書（第6回）'!$C$123:$U$124,2,TRUE),0)</f>
        <v>0</v>
      </c>
      <c r="P473" s="209">
        <f>IF('信用保険料計算書（上限2000万）'!$Q$15="",0,IF($B473&lt;'信用保険料計算書（上限2000万）'!$Q$15,0,IF($B473&gt;'信用保険料計算書（上限2000万）'!$Q$16,0,1)))</f>
        <v>0</v>
      </c>
      <c r="Q473" s="209">
        <f>IF(P473=1,HLOOKUP(C473,'計算書（第7回）'!$C$123:$U$124,2,TRUE),0)</f>
        <v>0</v>
      </c>
      <c r="R473" s="213"/>
      <c r="S473" s="211">
        <f>COUNTIF($AB$13:$AB$19,"&lt;=2031/6/1")</f>
        <v>2</v>
      </c>
      <c r="T473" s="178">
        <f t="shared" si="51"/>
        <v>44743</v>
      </c>
      <c r="U473" s="181">
        <f t="shared" si="48"/>
        <v>0</v>
      </c>
      <c r="V473" s="182">
        <f t="shared" si="65"/>
        <v>0</v>
      </c>
      <c r="W473" s="245">
        <f t="shared" si="60"/>
        <v>0</v>
      </c>
      <c r="X473" s="182"/>
    </row>
    <row r="474" spans="2:24">
      <c r="B474" s="214">
        <f t="shared" si="50"/>
        <v>54970</v>
      </c>
      <c r="C474" s="198">
        <f t="shared" si="47"/>
        <v>54940</v>
      </c>
      <c r="D474" s="209">
        <f>IF(B474&lt;'信用保険料計算書（上限2000万）'!$E$15,0,IF(B474&gt;'信用保険料計算書（上限2000万）'!$E$16,0,1))</f>
        <v>0</v>
      </c>
      <c r="E474" s="209">
        <f>IF(D474=1,HLOOKUP(C474,'計算書（第1回）'!$C$123:$U$124,2,TRUE),0)</f>
        <v>0</v>
      </c>
      <c r="F474" s="209">
        <f>IF('信用保険料計算書（上限2000万）'!$G$15="",0,IF($B474&lt;'信用保険料計算書（上限2000万）'!$G$15,0,IF($B474&gt;'信用保険料計算書（上限2000万）'!$G$16,0,1)))</f>
        <v>0</v>
      </c>
      <c r="G474" s="209">
        <f>IF(F474=1,HLOOKUP(C474,'計算書（第2回）'!$C$123:$U$124,2,TRUE),0)</f>
        <v>0</v>
      </c>
      <c r="H474" s="209">
        <f>IF('信用保険料計算書（上限2000万）'!$I$15="",0,IF($B474&lt;'信用保険料計算書（上限2000万）'!$I$15,0,IF($B474&gt;'信用保険料計算書（上限2000万）'!$I$16,0,1)))</f>
        <v>0</v>
      </c>
      <c r="I474" s="209">
        <f>IF(H474=1,HLOOKUP(C474,'計算書（第3回）'!$C$123:$U$124,2,TRUE),0)</f>
        <v>0</v>
      </c>
      <c r="J474" s="209">
        <f>IF('信用保険料計算書（上限2000万）'!$K$15="",0,IF($B474&lt;'信用保険料計算書（上限2000万）'!$K$15,0,IF($B474&gt;'信用保険料計算書（上限2000万）'!$K$16,0,1)))</f>
        <v>0</v>
      </c>
      <c r="K474" s="209">
        <f>IF(J474=1,HLOOKUP(C474,'計算書（第4回）'!$C$123:$U$124,2,TRUE),0)</f>
        <v>0</v>
      </c>
      <c r="L474" s="209">
        <f>IF('信用保険料計算書（上限2000万）'!$M$15="",0,IF($B474&lt;'信用保険料計算書（上限2000万）'!$M$15,0,IF($B474&gt;'信用保険料計算書（上限2000万）'!$M$16,0,1)))</f>
        <v>0</v>
      </c>
      <c r="M474" s="209">
        <f>IF(L474=1,HLOOKUP(C474,'計算書（第5回）'!$C$123:$U$124,2,TRUE),0)</f>
        <v>0</v>
      </c>
      <c r="N474" s="209">
        <f>IF('信用保険料計算書（上限2000万）'!$O$15="",0,IF($B474&lt;'信用保険料計算書（上限2000万）'!$O$15,0,IF($B474&gt;'信用保険料計算書（上限2000万）'!$O$16,0,1)))</f>
        <v>0</v>
      </c>
      <c r="O474" s="209">
        <f>IF(N474=1,HLOOKUP(C474,'計算書（第6回）'!$C$123:$U$124,2,TRUE),0)</f>
        <v>0</v>
      </c>
      <c r="P474" s="209">
        <f>IF('信用保険料計算書（上限2000万）'!$Q$15="",0,IF($B474&lt;'信用保険料計算書（上限2000万）'!$Q$15,0,IF($B474&gt;'信用保険料計算書（上限2000万）'!$Q$16,0,1)))</f>
        <v>0</v>
      </c>
      <c r="Q474" s="209">
        <f>IF(P474=1,HLOOKUP(C474,'計算書（第7回）'!$C$123:$U$124,2,TRUE),0)</f>
        <v>0</v>
      </c>
      <c r="R474" s="213"/>
      <c r="S474" s="211">
        <f>COUNTIF($AB$13:$AB$19,"&lt;=2031/7/1")</f>
        <v>2</v>
      </c>
      <c r="T474" s="178">
        <f t="shared" si="51"/>
        <v>44743</v>
      </c>
      <c r="U474" s="181">
        <f t="shared" si="48"/>
        <v>0</v>
      </c>
      <c r="V474" s="182">
        <f t="shared" si="65"/>
        <v>0</v>
      </c>
      <c r="W474" s="245">
        <f t="shared" si="60"/>
        <v>0</v>
      </c>
      <c r="X474" s="182"/>
    </row>
    <row r="475" spans="2:24">
      <c r="B475" s="214">
        <f t="shared" si="50"/>
        <v>55001</v>
      </c>
      <c r="C475" s="198">
        <f t="shared" ref="C475:C482" si="66">EDATE(B475,-1)</f>
        <v>54970</v>
      </c>
      <c r="D475" s="209">
        <f>IF(B475&lt;'信用保険料計算書（上限2000万）'!$E$15,0,IF(B475&gt;'信用保険料計算書（上限2000万）'!$E$16,0,1))</f>
        <v>0</v>
      </c>
      <c r="E475" s="209">
        <f>IF(D475=1,HLOOKUP(C475,'計算書（第1回）'!$C$123:$U$124,2,TRUE),0)</f>
        <v>0</v>
      </c>
      <c r="F475" s="209">
        <f>IF('信用保険料計算書（上限2000万）'!$G$15="",0,IF($B475&lt;'信用保険料計算書（上限2000万）'!$G$15,0,IF($B475&gt;'信用保険料計算書（上限2000万）'!$G$16,0,1)))</f>
        <v>0</v>
      </c>
      <c r="G475" s="209">
        <f>IF(F475=1,HLOOKUP(C475,'計算書（第2回）'!$C$123:$U$124,2,TRUE),0)</f>
        <v>0</v>
      </c>
      <c r="H475" s="209">
        <f>IF('信用保険料計算書（上限2000万）'!$I$15="",0,IF($B475&lt;'信用保険料計算書（上限2000万）'!$I$15,0,IF($B475&gt;'信用保険料計算書（上限2000万）'!$I$16,0,1)))</f>
        <v>0</v>
      </c>
      <c r="I475" s="209">
        <f>IF(H475=1,HLOOKUP(C475,'計算書（第3回）'!$C$123:$U$124,2,TRUE),0)</f>
        <v>0</v>
      </c>
      <c r="J475" s="209">
        <f>IF('信用保険料計算書（上限2000万）'!$K$15="",0,IF($B475&lt;'信用保険料計算書（上限2000万）'!$K$15,0,IF($B475&gt;'信用保険料計算書（上限2000万）'!$K$16,0,1)))</f>
        <v>0</v>
      </c>
      <c r="K475" s="209">
        <f>IF(J475=1,HLOOKUP(C475,'計算書（第4回）'!$C$123:$U$124,2,TRUE),0)</f>
        <v>0</v>
      </c>
      <c r="L475" s="209">
        <f>IF('信用保険料計算書（上限2000万）'!$M$15="",0,IF($B475&lt;'信用保険料計算書（上限2000万）'!$M$15,0,IF($B475&gt;'信用保険料計算書（上限2000万）'!$M$16,0,1)))</f>
        <v>0</v>
      </c>
      <c r="M475" s="209">
        <f>IF(L475=1,HLOOKUP(C475,'計算書（第5回）'!$C$123:$U$124,2,TRUE),0)</f>
        <v>0</v>
      </c>
      <c r="N475" s="209">
        <f>IF('信用保険料計算書（上限2000万）'!$O$15="",0,IF($B475&lt;'信用保険料計算書（上限2000万）'!$O$15,0,IF($B475&gt;'信用保険料計算書（上限2000万）'!$O$16,0,1)))</f>
        <v>0</v>
      </c>
      <c r="O475" s="209">
        <f>IF(N475=1,HLOOKUP(C475,'計算書（第6回）'!$C$123:$U$124,2,TRUE),0)</f>
        <v>0</v>
      </c>
      <c r="P475" s="209">
        <f>IF('信用保険料計算書（上限2000万）'!$Q$15="",0,IF($B475&lt;'信用保険料計算書（上限2000万）'!$Q$15,0,IF($B475&gt;'信用保険料計算書（上限2000万）'!$Q$16,0,1)))</f>
        <v>0</v>
      </c>
      <c r="Q475" s="209">
        <f>IF(P475=1,HLOOKUP(C475,'計算書（第7回）'!$C$123:$U$124,2,TRUE),0)</f>
        <v>0</v>
      </c>
      <c r="R475" s="213"/>
      <c r="S475" s="211">
        <f>COUNTIF($AB$13:$AB$19,"&lt;=2031/8/1")</f>
        <v>2</v>
      </c>
      <c r="T475" s="178">
        <f t="shared" si="51"/>
        <v>44743</v>
      </c>
      <c r="U475" s="181">
        <f t="shared" ref="U475:U482" si="67">E475+G475+I475+K475+M475+O475+Q475</f>
        <v>0</v>
      </c>
      <c r="V475" s="182">
        <f t="shared" si="65"/>
        <v>0</v>
      </c>
      <c r="W475" s="245">
        <f t="shared" si="60"/>
        <v>0</v>
      </c>
      <c r="X475" s="182"/>
    </row>
    <row r="476" spans="2:24">
      <c r="B476" s="214">
        <f t="shared" ref="B476:B482" si="68">EDATE(B475,1)</f>
        <v>55032</v>
      </c>
      <c r="C476" s="198">
        <f t="shared" si="66"/>
        <v>55001</v>
      </c>
      <c r="D476" s="209">
        <f>IF(B476&lt;'信用保険料計算書（上限2000万）'!$E$15,0,IF(B476&gt;'信用保険料計算書（上限2000万）'!$E$16,0,1))</f>
        <v>0</v>
      </c>
      <c r="E476" s="209">
        <f>IF(D476=1,HLOOKUP(C476,'計算書（第1回）'!$C$123:$U$124,2,TRUE),0)</f>
        <v>0</v>
      </c>
      <c r="F476" s="209">
        <f>IF('信用保険料計算書（上限2000万）'!$G$15="",0,IF($B476&lt;'信用保険料計算書（上限2000万）'!$G$15,0,IF($B476&gt;'信用保険料計算書（上限2000万）'!$G$16,0,1)))</f>
        <v>0</v>
      </c>
      <c r="G476" s="209">
        <f>IF(F476=1,HLOOKUP(C476,'計算書（第2回）'!$C$123:$U$124,2,TRUE),0)</f>
        <v>0</v>
      </c>
      <c r="H476" s="209">
        <f>IF('信用保険料計算書（上限2000万）'!$I$15="",0,IF($B476&lt;'信用保険料計算書（上限2000万）'!$I$15,0,IF($B476&gt;'信用保険料計算書（上限2000万）'!$I$16,0,1)))</f>
        <v>0</v>
      </c>
      <c r="I476" s="209">
        <f>IF(H476=1,HLOOKUP(C476,'計算書（第3回）'!$C$123:$U$124,2,TRUE),0)</f>
        <v>0</v>
      </c>
      <c r="J476" s="209">
        <f>IF('信用保険料計算書（上限2000万）'!$K$15="",0,IF($B476&lt;'信用保険料計算書（上限2000万）'!$K$15,0,IF($B476&gt;'信用保険料計算書（上限2000万）'!$K$16,0,1)))</f>
        <v>0</v>
      </c>
      <c r="K476" s="209">
        <f>IF(J476=1,HLOOKUP(C476,'計算書（第4回）'!$C$123:$U$124,2,TRUE),0)</f>
        <v>0</v>
      </c>
      <c r="L476" s="209">
        <f>IF('信用保険料計算書（上限2000万）'!$M$15="",0,IF($B476&lt;'信用保険料計算書（上限2000万）'!$M$15,0,IF($B476&gt;'信用保険料計算書（上限2000万）'!$M$16,0,1)))</f>
        <v>0</v>
      </c>
      <c r="M476" s="209">
        <f>IF(L476=1,HLOOKUP(C476,'計算書（第5回）'!$C$123:$U$124,2,TRUE),0)</f>
        <v>0</v>
      </c>
      <c r="N476" s="209">
        <f>IF('信用保険料計算書（上限2000万）'!$O$15="",0,IF($B476&lt;'信用保険料計算書（上限2000万）'!$O$15,0,IF($B476&gt;'信用保険料計算書（上限2000万）'!$O$16,0,1)))</f>
        <v>0</v>
      </c>
      <c r="O476" s="209">
        <f>IF(N476=1,HLOOKUP(C476,'計算書（第6回）'!$C$123:$U$124,2,TRUE),0)</f>
        <v>0</v>
      </c>
      <c r="P476" s="209">
        <f>IF('信用保険料計算書（上限2000万）'!$Q$15="",0,IF($B476&lt;'信用保険料計算書（上限2000万）'!$Q$15,0,IF($B476&gt;'信用保険料計算書（上限2000万）'!$Q$16,0,1)))</f>
        <v>0</v>
      </c>
      <c r="Q476" s="209">
        <f>IF(P476=1,HLOOKUP(C476,'計算書（第7回）'!$C$123:$U$124,2,TRUE),0)</f>
        <v>0</v>
      </c>
      <c r="R476" s="213"/>
      <c r="S476" s="211">
        <f>COUNTIF($AB$13:$AB$19,"&lt;=2031/9/1")</f>
        <v>2</v>
      </c>
      <c r="T476" s="178">
        <f t="shared" ref="T476:T482" si="69">IF(S476="","",SMALL($AB$13:$AB$19,$S476))</f>
        <v>44743</v>
      </c>
      <c r="U476" s="181">
        <f t="shared" si="67"/>
        <v>0</v>
      </c>
      <c r="V476" s="182">
        <f t="shared" si="65"/>
        <v>0</v>
      </c>
      <c r="W476" s="245">
        <f t="shared" si="60"/>
        <v>0</v>
      </c>
      <c r="X476" s="183">
        <f>INT(SUM(W471:W476))</f>
        <v>0</v>
      </c>
    </row>
    <row r="477" spans="2:24">
      <c r="B477" s="214">
        <f t="shared" si="68"/>
        <v>55062</v>
      </c>
      <c r="C477" s="198">
        <f t="shared" si="66"/>
        <v>55032</v>
      </c>
      <c r="D477" s="209">
        <f>IF(B477&lt;'信用保険料計算書（上限2000万）'!$E$15,0,IF(B477&gt;'信用保険料計算書（上限2000万）'!$E$16,0,1))</f>
        <v>0</v>
      </c>
      <c r="E477" s="209">
        <f>IF(D477=1,HLOOKUP(C477,'計算書（第1回）'!$C$123:$U$124,2,TRUE),0)</f>
        <v>0</v>
      </c>
      <c r="F477" s="209">
        <f>IF('信用保険料計算書（上限2000万）'!$G$15="",0,IF($B477&lt;'信用保険料計算書（上限2000万）'!$G$15,0,IF($B477&gt;'信用保険料計算書（上限2000万）'!$G$16,0,1)))</f>
        <v>0</v>
      </c>
      <c r="G477" s="209">
        <f>IF(F477=1,HLOOKUP(C477,'計算書（第2回）'!$C$123:$U$124,2,TRUE),0)</f>
        <v>0</v>
      </c>
      <c r="H477" s="209">
        <f>IF('信用保険料計算書（上限2000万）'!$I$15="",0,IF($B477&lt;'信用保険料計算書（上限2000万）'!$I$15,0,IF($B477&gt;'信用保険料計算書（上限2000万）'!$I$16,0,1)))</f>
        <v>0</v>
      </c>
      <c r="I477" s="209">
        <f>IF(H477=1,HLOOKUP(C477,'計算書（第3回）'!$C$123:$U$124,2,TRUE),0)</f>
        <v>0</v>
      </c>
      <c r="J477" s="209">
        <f>IF('信用保険料計算書（上限2000万）'!$K$15="",0,IF($B477&lt;'信用保険料計算書（上限2000万）'!$K$15,0,IF($B477&gt;'信用保険料計算書（上限2000万）'!$K$16,0,1)))</f>
        <v>0</v>
      </c>
      <c r="K477" s="209">
        <f>IF(J477=1,HLOOKUP(C477,'計算書（第4回）'!$C$123:$U$124,2,TRUE),0)</f>
        <v>0</v>
      </c>
      <c r="L477" s="209">
        <f>IF('信用保険料計算書（上限2000万）'!$M$15="",0,IF($B477&lt;'信用保険料計算書（上限2000万）'!$M$15,0,IF($B477&gt;'信用保険料計算書（上限2000万）'!$M$16,0,1)))</f>
        <v>0</v>
      </c>
      <c r="M477" s="209">
        <f>IF(L477=1,HLOOKUP(C477,'計算書（第5回）'!$C$123:$U$124,2,TRUE),0)</f>
        <v>0</v>
      </c>
      <c r="N477" s="209">
        <f>IF('信用保険料計算書（上限2000万）'!$O$15="",0,IF($B477&lt;'信用保険料計算書（上限2000万）'!$O$15,0,IF($B477&gt;'信用保険料計算書（上限2000万）'!$O$16,0,1)))</f>
        <v>0</v>
      </c>
      <c r="O477" s="209">
        <f>IF(N477=1,HLOOKUP(C477,'計算書（第6回）'!$C$123:$U$124,2,TRUE),0)</f>
        <v>0</v>
      </c>
      <c r="P477" s="209">
        <f>IF('信用保険料計算書（上限2000万）'!$Q$15="",0,IF($B477&lt;'信用保険料計算書（上限2000万）'!$Q$15,0,IF($B477&gt;'信用保険料計算書（上限2000万）'!$Q$16,0,1)))</f>
        <v>0</v>
      </c>
      <c r="Q477" s="209">
        <f>IF(P477=1,HLOOKUP(C477,'計算書（第7回）'!$C$123:$U$124,2,TRUE),0)</f>
        <v>0</v>
      </c>
      <c r="R477" s="213"/>
      <c r="S477" s="211">
        <f>COUNTIF($AB$13:$AB$19,"&lt;=2031/10/1")</f>
        <v>2</v>
      </c>
      <c r="T477" s="178">
        <f t="shared" si="69"/>
        <v>44743</v>
      </c>
      <c r="U477" s="181">
        <f t="shared" si="67"/>
        <v>0</v>
      </c>
      <c r="V477" s="182">
        <f t="shared" si="65"/>
        <v>0</v>
      </c>
      <c r="W477" s="245">
        <f t="shared" si="60"/>
        <v>0</v>
      </c>
      <c r="X477" s="182"/>
    </row>
    <row r="478" spans="2:24">
      <c r="B478" s="214">
        <f t="shared" si="68"/>
        <v>55093</v>
      </c>
      <c r="C478" s="198">
        <f t="shared" si="66"/>
        <v>55062</v>
      </c>
      <c r="D478" s="209">
        <f>IF(B478&lt;'信用保険料計算書（上限2000万）'!$E$15,0,IF(B478&gt;'信用保険料計算書（上限2000万）'!$E$16,0,1))</f>
        <v>0</v>
      </c>
      <c r="E478" s="209">
        <f>IF(D478=1,HLOOKUP(C478,'計算書（第1回）'!$C$123:$U$124,2,TRUE),0)</f>
        <v>0</v>
      </c>
      <c r="F478" s="209">
        <f>IF('信用保険料計算書（上限2000万）'!$G$15="",0,IF($B478&lt;'信用保険料計算書（上限2000万）'!$G$15,0,IF($B478&gt;'信用保険料計算書（上限2000万）'!$G$16,0,1)))</f>
        <v>0</v>
      </c>
      <c r="G478" s="209">
        <f>IF(F478=1,HLOOKUP(C478,'計算書（第2回）'!$C$123:$U$124,2,TRUE),0)</f>
        <v>0</v>
      </c>
      <c r="H478" s="209">
        <f>IF('信用保険料計算書（上限2000万）'!$I$15="",0,IF($B478&lt;'信用保険料計算書（上限2000万）'!$I$15,0,IF($B478&gt;'信用保険料計算書（上限2000万）'!$I$16,0,1)))</f>
        <v>0</v>
      </c>
      <c r="I478" s="209">
        <f>IF(H478=1,HLOOKUP(C478,'計算書（第3回）'!$C$123:$U$124,2,TRUE),0)</f>
        <v>0</v>
      </c>
      <c r="J478" s="209">
        <f>IF('信用保険料計算書（上限2000万）'!$K$15="",0,IF($B478&lt;'信用保険料計算書（上限2000万）'!$K$15,0,IF($B478&gt;'信用保険料計算書（上限2000万）'!$K$16,0,1)))</f>
        <v>0</v>
      </c>
      <c r="K478" s="209">
        <f>IF(J478=1,HLOOKUP(C478,'計算書（第4回）'!$C$123:$U$124,2,TRUE),0)</f>
        <v>0</v>
      </c>
      <c r="L478" s="209">
        <f>IF('信用保険料計算書（上限2000万）'!$M$15="",0,IF($B478&lt;'信用保険料計算書（上限2000万）'!$M$15,0,IF($B478&gt;'信用保険料計算書（上限2000万）'!$M$16,0,1)))</f>
        <v>0</v>
      </c>
      <c r="M478" s="209">
        <f>IF(L478=1,HLOOKUP(C478,'計算書（第5回）'!$C$123:$U$124,2,TRUE),0)</f>
        <v>0</v>
      </c>
      <c r="N478" s="209">
        <f>IF('信用保険料計算書（上限2000万）'!$O$15="",0,IF($B478&lt;'信用保険料計算書（上限2000万）'!$O$15,0,IF($B478&gt;'信用保険料計算書（上限2000万）'!$O$16,0,1)))</f>
        <v>0</v>
      </c>
      <c r="O478" s="209">
        <f>IF(N478=1,HLOOKUP(C478,'計算書（第6回）'!$C$123:$U$124,2,TRUE),0)</f>
        <v>0</v>
      </c>
      <c r="P478" s="209">
        <f>IF('信用保険料計算書（上限2000万）'!$Q$15="",0,IF($B478&lt;'信用保険料計算書（上限2000万）'!$Q$15,0,IF($B478&gt;'信用保険料計算書（上限2000万）'!$Q$16,0,1)))</f>
        <v>0</v>
      </c>
      <c r="Q478" s="209">
        <f>IF(P478=1,HLOOKUP(C478,'計算書（第7回）'!$C$123:$U$124,2,TRUE),0)</f>
        <v>0</v>
      </c>
      <c r="R478" s="213"/>
      <c r="S478" s="211">
        <f>COUNTIF($AB$13:$AB$19,"&lt;=2031/11/1")</f>
        <v>2</v>
      </c>
      <c r="T478" s="178">
        <f t="shared" si="69"/>
        <v>44743</v>
      </c>
      <c r="U478" s="181">
        <f t="shared" si="67"/>
        <v>0</v>
      </c>
      <c r="V478" s="182">
        <f t="shared" si="65"/>
        <v>0</v>
      </c>
      <c r="W478" s="245">
        <f t="shared" si="60"/>
        <v>0</v>
      </c>
      <c r="X478" s="182"/>
    </row>
    <row r="479" spans="2:24">
      <c r="B479" s="214">
        <f t="shared" si="68"/>
        <v>55123</v>
      </c>
      <c r="C479" s="198">
        <f t="shared" si="66"/>
        <v>55093</v>
      </c>
      <c r="D479" s="209">
        <f>IF(B479&lt;'信用保険料計算書（上限2000万）'!$E$15,0,IF(B479&gt;'信用保険料計算書（上限2000万）'!$E$16,0,1))</f>
        <v>0</v>
      </c>
      <c r="E479" s="209">
        <f>IF(D479=1,HLOOKUP(C479,'計算書（第1回）'!$C$123:$U$124,2,TRUE),0)</f>
        <v>0</v>
      </c>
      <c r="F479" s="209">
        <f>IF('信用保険料計算書（上限2000万）'!$G$15="",0,IF($B479&lt;'信用保険料計算書（上限2000万）'!$G$15,0,IF($B479&gt;'信用保険料計算書（上限2000万）'!$G$16,0,1)))</f>
        <v>0</v>
      </c>
      <c r="G479" s="209">
        <f>IF(F479=1,HLOOKUP(C479,'計算書（第2回）'!$C$123:$U$124,2,TRUE),0)</f>
        <v>0</v>
      </c>
      <c r="H479" s="209">
        <f>IF('信用保険料計算書（上限2000万）'!$I$15="",0,IF($B479&lt;'信用保険料計算書（上限2000万）'!$I$15,0,IF($B479&gt;'信用保険料計算書（上限2000万）'!$I$16,0,1)))</f>
        <v>0</v>
      </c>
      <c r="I479" s="209">
        <f>IF(H479=1,HLOOKUP(C479,'計算書（第3回）'!$C$123:$U$124,2,TRUE),0)</f>
        <v>0</v>
      </c>
      <c r="J479" s="209">
        <f>IF('信用保険料計算書（上限2000万）'!$K$15="",0,IF($B479&lt;'信用保険料計算書（上限2000万）'!$K$15,0,IF($B479&gt;'信用保険料計算書（上限2000万）'!$K$16,0,1)))</f>
        <v>0</v>
      </c>
      <c r="K479" s="209">
        <f>IF(J479=1,HLOOKUP(C479,'計算書（第4回）'!$C$123:$U$124,2,TRUE),0)</f>
        <v>0</v>
      </c>
      <c r="L479" s="209">
        <f>IF('信用保険料計算書（上限2000万）'!$M$15="",0,IF($B479&lt;'信用保険料計算書（上限2000万）'!$M$15,0,IF($B479&gt;'信用保険料計算書（上限2000万）'!$M$16,0,1)))</f>
        <v>0</v>
      </c>
      <c r="M479" s="209">
        <f>IF(L479=1,HLOOKUP(C479,'計算書（第5回）'!$C$123:$U$124,2,TRUE),0)</f>
        <v>0</v>
      </c>
      <c r="N479" s="209">
        <f>IF('信用保険料計算書（上限2000万）'!$O$15="",0,IF($B479&lt;'信用保険料計算書（上限2000万）'!$O$15,0,IF($B479&gt;'信用保険料計算書（上限2000万）'!$O$16,0,1)))</f>
        <v>0</v>
      </c>
      <c r="O479" s="209">
        <f>IF(N479=1,HLOOKUP(C479,'計算書（第6回）'!$C$123:$U$124,2,TRUE),0)</f>
        <v>0</v>
      </c>
      <c r="P479" s="209">
        <f>IF('信用保険料計算書（上限2000万）'!$Q$15="",0,IF($B479&lt;'信用保険料計算書（上限2000万）'!$Q$15,0,IF($B479&gt;'信用保険料計算書（上限2000万）'!$Q$16,0,1)))</f>
        <v>0</v>
      </c>
      <c r="Q479" s="209">
        <f>IF(P479=1,HLOOKUP(C479,'計算書（第7回）'!$C$123:$U$124,2,TRUE),0)</f>
        <v>0</v>
      </c>
      <c r="R479" s="213"/>
      <c r="S479" s="211">
        <f>COUNTIF($AB$13:$AB$19,"&lt;=2031/12/1")</f>
        <v>2</v>
      </c>
      <c r="T479" s="178">
        <f t="shared" si="69"/>
        <v>44743</v>
      </c>
      <c r="U479" s="181">
        <f t="shared" si="67"/>
        <v>0</v>
      </c>
      <c r="V479" s="182">
        <f t="shared" si="65"/>
        <v>0</v>
      </c>
      <c r="W479" s="245">
        <f t="shared" si="60"/>
        <v>0</v>
      </c>
      <c r="X479" s="182"/>
    </row>
    <row r="480" spans="2:24">
      <c r="B480" s="214">
        <f t="shared" si="68"/>
        <v>55154</v>
      </c>
      <c r="C480" s="198">
        <f t="shared" si="66"/>
        <v>55123</v>
      </c>
      <c r="D480" s="209">
        <f>IF(B480&lt;'信用保険料計算書（上限2000万）'!$E$15,0,IF(B480&gt;'信用保険料計算書（上限2000万）'!$E$16,0,1))</f>
        <v>0</v>
      </c>
      <c r="E480" s="209">
        <f>IF(D480=1,HLOOKUP(C480,'計算書（第1回）'!$C$123:$U$124,2,TRUE),0)</f>
        <v>0</v>
      </c>
      <c r="F480" s="209">
        <f>IF('信用保険料計算書（上限2000万）'!$G$15="",0,IF($B480&lt;'信用保険料計算書（上限2000万）'!$G$15,0,IF($B480&gt;'信用保険料計算書（上限2000万）'!$G$16,0,1)))</f>
        <v>0</v>
      </c>
      <c r="G480" s="209">
        <f>IF(F480=1,HLOOKUP(C480,'計算書（第2回）'!$C$123:$U$124,2,TRUE),0)</f>
        <v>0</v>
      </c>
      <c r="H480" s="209">
        <f>IF('信用保険料計算書（上限2000万）'!$I$15="",0,IF($B480&lt;'信用保険料計算書（上限2000万）'!$I$15,0,IF($B480&gt;'信用保険料計算書（上限2000万）'!$I$16,0,1)))</f>
        <v>0</v>
      </c>
      <c r="I480" s="209">
        <f>IF(H480=1,HLOOKUP(C480,'計算書（第3回）'!$C$123:$U$124,2,TRUE),0)</f>
        <v>0</v>
      </c>
      <c r="J480" s="209">
        <f>IF('信用保険料計算書（上限2000万）'!$K$15="",0,IF($B480&lt;'信用保険料計算書（上限2000万）'!$K$15,0,IF($B480&gt;'信用保険料計算書（上限2000万）'!$K$16,0,1)))</f>
        <v>0</v>
      </c>
      <c r="K480" s="209">
        <f>IF(J480=1,HLOOKUP(C480,'計算書（第4回）'!$C$123:$U$124,2,TRUE),0)</f>
        <v>0</v>
      </c>
      <c r="L480" s="209">
        <f>IF('信用保険料計算書（上限2000万）'!$M$15="",0,IF($B480&lt;'信用保険料計算書（上限2000万）'!$M$15,0,IF($B480&gt;'信用保険料計算書（上限2000万）'!$M$16,0,1)))</f>
        <v>0</v>
      </c>
      <c r="M480" s="209">
        <f>IF(L480=1,HLOOKUP(C480,'計算書（第5回）'!$C$123:$U$124,2,TRUE),0)</f>
        <v>0</v>
      </c>
      <c r="N480" s="209">
        <f>IF('信用保険料計算書（上限2000万）'!$O$15="",0,IF($B480&lt;'信用保険料計算書（上限2000万）'!$O$15,0,IF($B480&gt;'信用保険料計算書（上限2000万）'!$O$16,0,1)))</f>
        <v>0</v>
      </c>
      <c r="O480" s="209">
        <f>IF(N480=1,HLOOKUP(C480,'計算書（第6回）'!$C$123:$U$124,2,TRUE),0)</f>
        <v>0</v>
      </c>
      <c r="P480" s="209">
        <f>IF('信用保険料計算書（上限2000万）'!$Q$15="",0,IF($B480&lt;'信用保険料計算書（上限2000万）'!$Q$15,0,IF($B480&gt;'信用保険料計算書（上限2000万）'!$Q$16,0,1)))</f>
        <v>0</v>
      </c>
      <c r="Q480" s="209">
        <f>IF(P480=1,HLOOKUP(C480,'計算書（第7回）'!$C$123:$U$124,2,TRUE),0)</f>
        <v>0</v>
      </c>
      <c r="R480" s="212"/>
      <c r="S480" s="211">
        <f>COUNTIF($AB$13:$AB$19,"&lt;=2032/1/1")</f>
        <v>2</v>
      </c>
      <c r="T480" s="178">
        <f t="shared" si="69"/>
        <v>44743</v>
      </c>
      <c r="U480" s="181">
        <f t="shared" si="67"/>
        <v>0</v>
      </c>
      <c r="V480" s="182">
        <f t="shared" si="65"/>
        <v>0</v>
      </c>
      <c r="W480" s="245">
        <f t="shared" si="60"/>
        <v>0</v>
      </c>
      <c r="X480" s="182"/>
    </row>
    <row r="481" spans="2:24">
      <c r="B481" s="214">
        <f t="shared" si="68"/>
        <v>55185</v>
      </c>
      <c r="C481" s="198">
        <f t="shared" si="66"/>
        <v>55154</v>
      </c>
      <c r="D481" s="209">
        <f>IF(B481&lt;'信用保険料計算書（上限2000万）'!$E$15,0,IF(B481&gt;'信用保険料計算書（上限2000万）'!$E$16,0,1))</f>
        <v>0</v>
      </c>
      <c r="E481" s="209">
        <f>IF(D481=1,HLOOKUP(C481,'計算書（第1回）'!$C$123:$U$124,2,TRUE),0)</f>
        <v>0</v>
      </c>
      <c r="F481" s="209">
        <f>IF('信用保険料計算書（上限2000万）'!$G$15="",0,IF($B481&lt;'信用保険料計算書（上限2000万）'!$G$15,0,IF($B481&gt;'信用保険料計算書（上限2000万）'!$G$16,0,1)))</f>
        <v>0</v>
      </c>
      <c r="G481" s="209">
        <f>IF(F481=1,HLOOKUP(C481,'計算書（第2回）'!$C$123:$U$124,2,TRUE),0)</f>
        <v>0</v>
      </c>
      <c r="H481" s="209">
        <f>IF('信用保険料計算書（上限2000万）'!$I$15="",0,IF($B481&lt;'信用保険料計算書（上限2000万）'!$I$15,0,IF($B481&gt;'信用保険料計算書（上限2000万）'!$I$16,0,1)))</f>
        <v>0</v>
      </c>
      <c r="I481" s="209">
        <f>IF(H481=1,HLOOKUP(C481,'計算書（第3回）'!$C$123:$U$124,2,TRUE),0)</f>
        <v>0</v>
      </c>
      <c r="J481" s="209">
        <f>IF('信用保険料計算書（上限2000万）'!$K$15="",0,IF($B481&lt;'信用保険料計算書（上限2000万）'!$K$15,0,IF($B481&gt;'信用保険料計算書（上限2000万）'!$K$16,0,1)))</f>
        <v>0</v>
      </c>
      <c r="K481" s="209">
        <f>IF(J481=1,HLOOKUP(C481,'計算書（第4回）'!$C$123:$U$124,2,TRUE),0)</f>
        <v>0</v>
      </c>
      <c r="L481" s="209">
        <f>IF('信用保険料計算書（上限2000万）'!$M$15="",0,IF($B481&lt;'信用保険料計算書（上限2000万）'!$M$15,0,IF($B481&gt;'信用保険料計算書（上限2000万）'!$M$16,0,1)))</f>
        <v>0</v>
      </c>
      <c r="M481" s="209">
        <f>IF(L481=1,HLOOKUP(C481,'計算書（第5回）'!$C$123:$U$124,2,TRUE),0)</f>
        <v>0</v>
      </c>
      <c r="N481" s="209">
        <f>IF('信用保険料計算書（上限2000万）'!$O$15="",0,IF($B481&lt;'信用保険料計算書（上限2000万）'!$O$15,0,IF($B481&gt;'信用保険料計算書（上限2000万）'!$O$16,0,1)))</f>
        <v>0</v>
      </c>
      <c r="O481" s="209">
        <f>IF(N481=1,HLOOKUP(C481,'計算書（第6回）'!$C$123:$U$124,2,TRUE),0)</f>
        <v>0</v>
      </c>
      <c r="P481" s="209">
        <f>IF('信用保険料計算書（上限2000万）'!$Q$15="",0,IF($B481&lt;'信用保険料計算書（上限2000万）'!$Q$15,0,IF($B481&gt;'信用保険料計算書（上限2000万）'!$Q$16,0,1)))</f>
        <v>0</v>
      </c>
      <c r="Q481" s="209">
        <f>IF(P481=1,HLOOKUP(C481,'計算書（第7回）'!$C$123:$U$124,2,TRUE),0)</f>
        <v>0</v>
      </c>
      <c r="R481" s="212"/>
      <c r="S481" s="211">
        <f>COUNTIF($AB$13:$AB$19,"&lt;=2032/2/1")</f>
        <v>2</v>
      </c>
      <c r="T481" s="178">
        <f t="shared" si="69"/>
        <v>44743</v>
      </c>
      <c r="U481" s="181">
        <f t="shared" si="67"/>
        <v>0</v>
      </c>
      <c r="V481" s="182">
        <f t="shared" si="65"/>
        <v>0</v>
      </c>
      <c r="W481" s="245">
        <f t="shared" si="60"/>
        <v>0</v>
      </c>
      <c r="X481" s="182"/>
    </row>
    <row r="482" spans="2:24">
      <c r="B482" s="214">
        <f t="shared" si="68"/>
        <v>55213</v>
      </c>
      <c r="C482" s="198">
        <f t="shared" si="66"/>
        <v>55185</v>
      </c>
      <c r="D482" s="209">
        <f>IF(B482&lt;'信用保険料計算書（上限2000万）'!$E$15,0,IF(B482&gt;'信用保険料計算書（上限2000万）'!$E$16,0,1))</f>
        <v>0</v>
      </c>
      <c r="E482" s="209">
        <f>IF(D482=1,HLOOKUP(C482,'計算書（第1回）'!$C$123:$U$124,2,TRUE),0)</f>
        <v>0</v>
      </c>
      <c r="F482" s="209">
        <f>IF('信用保険料計算書（上限2000万）'!$G$15="",0,IF($B482&lt;'信用保険料計算書（上限2000万）'!$G$15,0,IF($B482&gt;'信用保険料計算書（上限2000万）'!$G$16,0,1)))</f>
        <v>0</v>
      </c>
      <c r="G482" s="209">
        <f>IF(F482=1,HLOOKUP(C482,'計算書（第2回）'!$C$123:$U$124,2,TRUE),0)</f>
        <v>0</v>
      </c>
      <c r="H482" s="209">
        <f>IF('信用保険料計算書（上限2000万）'!$I$15="",0,IF($B482&lt;'信用保険料計算書（上限2000万）'!$I$15,0,IF($B482&gt;'信用保険料計算書（上限2000万）'!$I$16,0,1)))</f>
        <v>0</v>
      </c>
      <c r="I482" s="209">
        <f>IF(H482=1,HLOOKUP(C482,'計算書（第3回）'!$C$123:$U$124,2,TRUE),0)</f>
        <v>0</v>
      </c>
      <c r="J482" s="209">
        <f>IF('信用保険料計算書（上限2000万）'!$K$15="",0,IF($B482&lt;'信用保険料計算書（上限2000万）'!$K$15,0,IF($B482&gt;'信用保険料計算書（上限2000万）'!$K$16,0,1)))</f>
        <v>0</v>
      </c>
      <c r="K482" s="209">
        <f>IF(J482=1,HLOOKUP(C482,'計算書（第4回）'!$C$123:$U$124,2,TRUE),0)</f>
        <v>0</v>
      </c>
      <c r="L482" s="209">
        <f>IF('信用保険料計算書（上限2000万）'!$M$15="",0,IF($B482&lt;'信用保険料計算書（上限2000万）'!$M$15,0,IF($B482&gt;'信用保険料計算書（上限2000万）'!$M$16,0,1)))</f>
        <v>0</v>
      </c>
      <c r="M482" s="209">
        <f>IF(L482=1,HLOOKUP(C482,'計算書（第5回）'!$C$123:$U$124,2,TRUE),0)</f>
        <v>0</v>
      </c>
      <c r="N482" s="209">
        <f>IF('信用保険料計算書（上限2000万）'!$O$15="",0,IF($B482&lt;'信用保険料計算書（上限2000万）'!$O$15,0,IF($B482&gt;'信用保険料計算書（上限2000万）'!$O$16,0,1)))</f>
        <v>0</v>
      </c>
      <c r="O482" s="209">
        <f>IF(N482=1,HLOOKUP(C482,'計算書（第6回）'!$C$123:$U$124,2,TRUE),0)</f>
        <v>0</v>
      </c>
      <c r="P482" s="209">
        <f>IF('信用保険料計算書（上限2000万）'!$Q$15="",0,IF($B482&lt;'信用保険料計算書（上限2000万）'!$Q$15,0,IF($B482&gt;'信用保険料計算書（上限2000万）'!$Q$16,0,1)))</f>
        <v>0</v>
      </c>
      <c r="Q482" s="209">
        <f>IF(P482=1,HLOOKUP(C482,'計算書（第7回）'!$C$123:$U$124,2,TRUE),0)</f>
        <v>0</v>
      </c>
      <c r="R482" s="212"/>
      <c r="S482" s="211">
        <f>COUNTIF($AB$13:$AB$19,"&lt;=2032/3/1")</f>
        <v>2</v>
      </c>
      <c r="T482" s="178">
        <f t="shared" si="69"/>
        <v>44743</v>
      </c>
      <c r="U482" s="181">
        <f t="shared" si="67"/>
        <v>0</v>
      </c>
      <c r="V482" s="182">
        <f t="shared" si="65"/>
        <v>0</v>
      </c>
      <c r="W482" s="245">
        <f t="shared" si="60"/>
        <v>0</v>
      </c>
      <c r="X482" s="183">
        <f>INT(SUM(W477:W482))</f>
        <v>0</v>
      </c>
    </row>
  </sheetData>
  <mergeCells count="9">
    <mergeCell ref="P2:Q2"/>
    <mergeCell ref="Z3:AC3"/>
    <mergeCell ref="AB11:AB12"/>
    <mergeCell ref="D2:E2"/>
    <mergeCell ref="F2:G2"/>
    <mergeCell ref="H2:I2"/>
    <mergeCell ref="J2:K2"/>
    <mergeCell ref="L2:M2"/>
    <mergeCell ref="N2:O2"/>
  </mergeCells>
  <phoneticPr fontId="17"/>
  <conditionalFormatting sqref="D3:M254 P3:R83 P84:Q254">
    <cfRule type="cellIs" dxfId="218" priority="93" stopIfTrue="1" operator="equal">
      <formula>1</formula>
    </cfRule>
  </conditionalFormatting>
  <conditionalFormatting sqref="N3:O254">
    <cfRule type="cellIs" dxfId="217" priority="92" stopIfTrue="1" operator="equal">
      <formula>1</formula>
    </cfRule>
  </conditionalFormatting>
  <conditionalFormatting sqref="R84:R95">
    <cfRule type="cellIs" dxfId="216" priority="91" stopIfTrue="1" operator="equal">
      <formula>1</formula>
    </cfRule>
  </conditionalFormatting>
  <conditionalFormatting sqref="R96:R107">
    <cfRule type="cellIs" dxfId="215" priority="90" stopIfTrue="1" operator="equal">
      <formula>1</formula>
    </cfRule>
  </conditionalFormatting>
  <conditionalFormatting sqref="R108:R119">
    <cfRule type="cellIs" dxfId="214" priority="89" stopIfTrue="1" operator="equal">
      <formula>1</formula>
    </cfRule>
  </conditionalFormatting>
  <conditionalFormatting sqref="R120:R131">
    <cfRule type="cellIs" dxfId="213" priority="88" stopIfTrue="1" operator="equal">
      <formula>1</formula>
    </cfRule>
  </conditionalFormatting>
  <conditionalFormatting sqref="R132:R143">
    <cfRule type="cellIs" dxfId="212" priority="87" stopIfTrue="1" operator="equal">
      <formula>1</formula>
    </cfRule>
  </conditionalFormatting>
  <conditionalFormatting sqref="R144:R155">
    <cfRule type="cellIs" dxfId="211" priority="86" stopIfTrue="1" operator="equal">
      <formula>1</formula>
    </cfRule>
  </conditionalFormatting>
  <conditionalFormatting sqref="R156:R167">
    <cfRule type="cellIs" dxfId="210" priority="85" stopIfTrue="1" operator="equal">
      <formula>1</formula>
    </cfRule>
  </conditionalFormatting>
  <conditionalFormatting sqref="R168:R179">
    <cfRule type="cellIs" dxfId="209" priority="84" stopIfTrue="1" operator="equal">
      <formula>1</formula>
    </cfRule>
  </conditionalFormatting>
  <conditionalFormatting sqref="R180:R191">
    <cfRule type="cellIs" dxfId="208" priority="83" stopIfTrue="1" operator="equal">
      <formula>1</formula>
    </cfRule>
  </conditionalFormatting>
  <conditionalFormatting sqref="R192:R203">
    <cfRule type="cellIs" dxfId="207" priority="82" stopIfTrue="1" operator="equal">
      <formula>1</formula>
    </cfRule>
  </conditionalFormatting>
  <conditionalFormatting sqref="R204:R215">
    <cfRule type="cellIs" dxfId="206" priority="81" stopIfTrue="1" operator="equal">
      <formula>1</formula>
    </cfRule>
  </conditionalFormatting>
  <conditionalFormatting sqref="R216:R227">
    <cfRule type="cellIs" dxfId="205" priority="80" stopIfTrue="1" operator="equal">
      <formula>1</formula>
    </cfRule>
  </conditionalFormatting>
  <conditionalFormatting sqref="R228:R239">
    <cfRule type="cellIs" dxfId="204" priority="79" stopIfTrue="1" operator="equal">
      <formula>1</formula>
    </cfRule>
  </conditionalFormatting>
  <conditionalFormatting sqref="R240:R251">
    <cfRule type="cellIs" dxfId="203" priority="78" stopIfTrue="1" operator="equal">
      <formula>1</formula>
    </cfRule>
  </conditionalFormatting>
  <conditionalFormatting sqref="R252:R254">
    <cfRule type="cellIs" dxfId="202" priority="77" stopIfTrue="1" operator="equal">
      <formula>1</formula>
    </cfRule>
  </conditionalFormatting>
  <conditionalFormatting sqref="D255:M266 P255:Q266">
    <cfRule type="cellIs" dxfId="201" priority="76" stopIfTrue="1" operator="equal">
      <formula>1</formula>
    </cfRule>
  </conditionalFormatting>
  <conditionalFormatting sqref="N255:O266">
    <cfRule type="cellIs" dxfId="200" priority="75" stopIfTrue="1" operator="equal">
      <formula>1</formula>
    </cfRule>
  </conditionalFormatting>
  <conditionalFormatting sqref="R255:R263">
    <cfRule type="cellIs" dxfId="199" priority="74" stopIfTrue="1" operator="equal">
      <formula>1</formula>
    </cfRule>
  </conditionalFormatting>
  <conditionalFormatting sqref="R264:R266">
    <cfRule type="cellIs" dxfId="198" priority="73" stopIfTrue="1" operator="equal">
      <formula>1</formula>
    </cfRule>
  </conditionalFormatting>
  <conditionalFormatting sqref="D267:M278 P267:Q278">
    <cfRule type="cellIs" dxfId="197" priority="72" stopIfTrue="1" operator="equal">
      <formula>1</formula>
    </cfRule>
  </conditionalFormatting>
  <conditionalFormatting sqref="N267:O278">
    <cfRule type="cellIs" dxfId="196" priority="71" stopIfTrue="1" operator="equal">
      <formula>1</formula>
    </cfRule>
  </conditionalFormatting>
  <conditionalFormatting sqref="R267:R275">
    <cfRule type="cellIs" dxfId="195" priority="70" stopIfTrue="1" operator="equal">
      <formula>1</formula>
    </cfRule>
  </conditionalFormatting>
  <conditionalFormatting sqref="R276:R278">
    <cfRule type="cellIs" dxfId="194" priority="69" stopIfTrue="1" operator="equal">
      <formula>1</formula>
    </cfRule>
  </conditionalFormatting>
  <conditionalFormatting sqref="D279:M290 P279:Q290">
    <cfRule type="cellIs" dxfId="193" priority="68" stopIfTrue="1" operator="equal">
      <formula>1</formula>
    </cfRule>
  </conditionalFormatting>
  <conditionalFormatting sqref="N279:O290">
    <cfRule type="cellIs" dxfId="192" priority="67" stopIfTrue="1" operator="equal">
      <formula>1</formula>
    </cfRule>
  </conditionalFormatting>
  <conditionalFormatting sqref="R279:R287">
    <cfRule type="cellIs" dxfId="191" priority="66" stopIfTrue="1" operator="equal">
      <formula>1</formula>
    </cfRule>
  </conditionalFormatting>
  <conditionalFormatting sqref="R288:R290">
    <cfRule type="cellIs" dxfId="190" priority="65" stopIfTrue="1" operator="equal">
      <formula>1</formula>
    </cfRule>
  </conditionalFormatting>
  <conditionalFormatting sqref="D291:M302 P291:Q302">
    <cfRule type="cellIs" dxfId="189" priority="64" stopIfTrue="1" operator="equal">
      <formula>1</formula>
    </cfRule>
  </conditionalFormatting>
  <conditionalFormatting sqref="N291:O302">
    <cfRule type="cellIs" dxfId="188" priority="63" stopIfTrue="1" operator="equal">
      <formula>1</formula>
    </cfRule>
  </conditionalFormatting>
  <conditionalFormatting sqref="R291:R299">
    <cfRule type="cellIs" dxfId="187" priority="62" stopIfTrue="1" operator="equal">
      <formula>1</formula>
    </cfRule>
  </conditionalFormatting>
  <conditionalFormatting sqref="R300:R302">
    <cfRule type="cellIs" dxfId="186" priority="61" stopIfTrue="1" operator="equal">
      <formula>1</formula>
    </cfRule>
  </conditionalFormatting>
  <conditionalFormatting sqref="D303:M314 P303:Q314">
    <cfRule type="cellIs" dxfId="185" priority="60" stopIfTrue="1" operator="equal">
      <formula>1</formula>
    </cfRule>
  </conditionalFormatting>
  <conditionalFormatting sqref="N303:O314">
    <cfRule type="cellIs" dxfId="184" priority="59" stopIfTrue="1" operator="equal">
      <formula>1</formula>
    </cfRule>
  </conditionalFormatting>
  <conditionalFormatting sqref="R303:R311">
    <cfRule type="cellIs" dxfId="183" priority="58" stopIfTrue="1" operator="equal">
      <formula>1</formula>
    </cfRule>
  </conditionalFormatting>
  <conditionalFormatting sqref="R312:R314">
    <cfRule type="cellIs" dxfId="182" priority="57" stopIfTrue="1" operator="equal">
      <formula>1</formula>
    </cfRule>
  </conditionalFormatting>
  <conditionalFormatting sqref="D315:M326 P315:Q326">
    <cfRule type="cellIs" dxfId="181" priority="56" stopIfTrue="1" operator="equal">
      <formula>1</formula>
    </cfRule>
  </conditionalFormatting>
  <conditionalFormatting sqref="N315:O326">
    <cfRule type="cellIs" dxfId="180" priority="55" stopIfTrue="1" operator="equal">
      <formula>1</formula>
    </cfRule>
  </conditionalFormatting>
  <conditionalFormatting sqref="R315:R323">
    <cfRule type="cellIs" dxfId="179" priority="54" stopIfTrue="1" operator="equal">
      <formula>1</formula>
    </cfRule>
  </conditionalFormatting>
  <conditionalFormatting sqref="R324:R326">
    <cfRule type="cellIs" dxfId="178" priority="53" stopIfTrue="1" operator="equal">
      <formula>1</formula>
    </cfRule>
  </conditionalFormatting>
  <conditionalFormatting sqref="D327:M338 P327:Q338">
    <cfRule type="cellIs" dxfId="177" priority="52" stopIfTrue="1" operator="equal">
      <formula>1</formula>
    </cfRule>
  </conditionalFormatting>
  <conditionalFormatting sqref="N327:O338">
    <cfRule type="cellIs" dxfId="176" priority="51" stopIfTrue="1" operator="equal">
      <formula>1</formula>
    </cfRule>
  </conditionalFormatting>
  <conditionalFormatting sqref="R327:R335">
    <cfRule type="cellIs" dxfId="175" priority="50" stopIfTrue="1" operator="equal">
      <formula>1</formula>
    </cfRule>
  </conditionalFormatting>
  <conditionalFormatting sqref="R336:R338">
    <cfRule type="cellIs" dxfId="174" priority="49" stopIfTrue="1" operator="equal">
      <formula>1</formula>
    </cfRule>
  </conditionalFormatting>
  <conditionalFormatting sqref="D339:M350 P339:Q350">
    <cfRule type="cellIs" dxfId="173" priority="48" stopIfTrue="1" operator="equal">
      <formula>1</formula>
    </cfRule>
  </conditionalFormatting>
  <conditionalFormatting sqref="N339:O350">
    <cfRule type="cellIs" dxfId="172" priority="47" stopIfTrue="1" operator="equal">
      <formula>1</formula>
    </cfRule>
  </conditionalFormatting>
  <conditionalFormatting sqref="R339:R347">
    <cfRule type="cellIs" dxfId="171" priority="46" stopIfTrue="1" operator="equal">
      <formula>1</formula>
    </cfRule>
  </conditionalFormatting>
  <conditionalFormatting sqref="R348:R350">
    <cfRule type="cellIs" dxfId="170" priority="45" stopIfTrue="1" operator="equal">
      <formula>1</formula>
    </cfRule>
  </conditionalFormatting>
  <conditionalFormatting sqref="D351:M362 P351:Q362">
    <cfRule type="cellIs" dxfId="169" priority="44" stopIfTrue="1" operator="equal">
      <formula>1</formula>
    </cfRule>
  </conditionalFormatting>
  <conditionalFormatting sqref="N351:O362">
    <cfRule type="cellIs" dxfId="168" priority="43" stopIfTrue="1" operator="equal">
      <formula>1</formula>
    </cfRule>
  </conditionalFormatting>
  <conditionalFormatting sqref="R351:R359">
    <cfRule type="cellIs" dxfId="167" priority="42" stopIfTrue="1" operator="equal">
      <formula>1</formula>
    </cfRule>
  </conditionalFormatting>
  <conditionalFormatting sqref="R360:R362">
    <cfRule type="cellIs" dxfId="166" priority="41" stopIfTrue="1" operator="equal">
      <formula>1</formula>
    </cfRule>
  </conditionalFormatting>
  <conditionalFormatting sqref="D363:M374 P363:Q374">
    <cfRule type="cellIs" dxfId="165" priority="40" stopIfTrue="1" operator="equal">
      <formula>1</formula>
    </cfRule>
  </conditionalFormatting>
  <conditionalFormatting sqref="N363:O374">
    <cfRule type="cellIs" dxfId="164" priority="39" stopIfTrue="1" operator="equal">
      <formula>1</formula>
    </cfRule>
  </conditionalFormatting>
  <conditionalFormatting sqref="R363:R371">
    <cfRule type="cellIs" dxfId="163" priority="38" stopIfTrue="1" operator="equal">
      <formula>1</formula>
    </cfRule>
  </conditionalFormatting>
  <conditionalFormatting sqref="R372:R374">
    <cfRule type="cellIs" dxfId="162" priority="37" stopIfTrue="1" operator="equal">
      <formula>1</formula>
    </cfRule>
  </conditionalFormatting>
  <conditionalFormatting sqref="D375:M386 P375:Q386">
    <cfRule type="cellIs" dxfId="161" priority="36" stopIfTrue="1" operator="equal">
      <formula>1</formula>
    </cfRule>
  </conditionalFormatting>
  <conditionalFormatting sqref="N375:O386">
    <cfRule type="cellIs" dxfId="160" priority="35" stopIfTrue="1" operator="equal">
      <formula>1</formula>
    </cfRule>
  </conditionalFormatting>
  <conditionalFormatting sqref="R375:R383">
    <cfRule type="cellIs" dxfId="159" priority="34" stopIfTrue="1" operator="equal">
      <formula>1</formula>
    </cfRule>
  </conditionalFormatting>
  <conditionalFormatting sqref="R384:R386">
    <cfRule type="cellIs" dxfId="158" priority="33" stopIfTrue="1" operator="equal">
      <formula>1</formula>
    </cfRule>
  </conditionalFormatting>
  <conditionalFormatting sqref="D387:M398 P387:Q398">
    <cfRule type="cellIs" dxfId="157" priority="32" stopIfTrue="1" operator="equal">
      <formula>1</formula>
    </cfRule>
  </conditionalFormatting>
  <conditionalFormatting sqref="N387:O398">
    <cfRule type="cellIs" dxfId="156" priority="31" stopIfTrue="1" operator="equal">
      <formula>1</formula>
    </cfRule>
  </conditionalFormatting>
  <conditionalFormatting sqref="R387:R395">
    <cfRule type="cellIs" dxfId="155" priority="30" stopIfTrue="1" operator="equal">
      <formula>1</formula>
    </cfRule>
  </conditionalFormatting>
  <conditionalFormatting sqref="R396:R398">
    <cfRule type="cellIs" dxfId="154" priority="29" stopIfTrue="1" operator="equal">
      <formula>1</formula>
    </cfRule>
  </conditionalFormatting>
  <conditionalFormatting sqref="D399:M410 P399:Q410">
    <cfRule type="cellIs" dxfId="153" priority="28" stopIfTrue="1" operator="equal">
      <formula>1</formula>
    </cfRule>
  </conditionalFormatting>
  <conditionalFormatting sqref="N399:O410">
    <cfRule type="cellIs" dxfId="152" priority="27" stopIfTrue="1" operator="equal">
      <formula>1</formula>
    </cfRule>
  </conditionalFormatting>
  <conditionalFormatting sqref="R399:R407">
    <cfRule type="cellIs" dxfId="151" priority="26" stopIfTrue="1" operator="equal">
      <formula>1</formula>
    </cfRule>
  </conditionalFormatting>
  <conditionalFormatting sqref="R408:R410">
    <cfRule type="cellIs" dxfId="150" priority="25" stopIfTrue="1" operator="equal">
      <formula>1</formula>
    </cfRule>
  </conditionalFormatting>
  <conditionalFormatting sqref="D411:M422 P411:Q422">
    <cfRule type="cellIs" dxfId="149" priority="24" stopIfTrue="1" operator="equal">
      <formula>1</formula>
    </cfRule>
  </conditionalFormatting>
  <conditionalFormatting sqref="N411:O422">
    <cfRule type="cellIs" dxfId="148" priority="23" stopIfTrue="1" operator="equal">
      <formula>1</formula>
    </cfRule>
  </conditionalFormatting>
  <conditionalFormatting sqref="R411:R419">
    <cfRule type="cellIs" dxfId="147" priority="22" stopIfTrue="1" operator="equal">
      <formula>1</formula>
    </cfRule>
  </conditionalFormatting>
  <conditionalFormatting sqref="R420:R422">
    <cfRule type="cellIs" dxfId="146" priority="21" stopIfTrue="1" operator="equal">
      <formula>1</formula>
    </cfRule>
  </conditionalFormatting>
  <conditionalFormatting sqref="D423:M434 P423:Q434">
    <cfRule type="cellIs" dxfId="145" priority="20" stopIfTrue="1" operator="equal">
      <formula>1</formula>
    </cfRule>
  </conditionalFormatting>
  <conditionalFormatting sqref="N423:O434">
    <cfRule type="cellIs" dxfId="144" priority="19" stopIfTrue="1" operator="equal">
      <formula>1</formula>
    </cfRule>
  </conditionalFormatting>
  <conditionalFormatting sqref="R423:R431">
    <cfRule type="cellIs" dxfId="143" priority="18" stopIfTrue="1" operator="equal">
      <formula>1</formula>
    </cfRule>
  </conditionalFormatting>
  <conditionalFormatting sqref="R432:R434">
    <cfRule type="cellIs" dxfId="142" priority="17" stopIfTrue="1" operator="equal">
      <formula>1</formula>
    </cfRule>
  </conditionalFormatting>
  <conditionalFormatting sqref="D435:M446 P435:Q446">
    <cfRule type="cellIs" dxfId="141" priority="16" stopIfTrue="1" operator="equal">
      <formula>1</formula>
    </cfRule>
  </conditionalFormatting>
  <conditionalFormatting sqref="N435:O446">
    <cfRule type="cellIs" dxfId="140" priority="15" stopIfTrue="1" operator="equal">
      <formula>1</formula>
    </cfRule>
  </conditionalFormatting>
  <conditionalFormatting sqref="R435:R443">
    <cfRule type="cellIs" dxfId="139" priority="14" stopIfTrue="1" operator="equal">
      <formula>1</formula>
    </cfRule>
  </conditionalFormatting>
  <conditionalFormatting sqref="R444:R446">
    <cfRule type="cellIs" dxfId="138" priority="13" stopIfTrue="1" operator="equal">
      <formula>1</formula>
    </cfRule>
  </conditionalFormatting>
  <conditionalFormatting sqref="D471:M482 P471:Q482">
    <cfRule type="cellIs" dxfId="137" priority="12" stopIfTrue="1" operator="equal">
      <formula>1</formula>
    </cfRule>
  </conditionalFormatting>
  <conditionalFormatting sqref="N471:O482">
    <cfRule type="cellIs" dxfId="136" priority="11" stopIfTrue="1" operator="equal">
      <formula>1</formula>
    </cfRule>
  </conditionalFormatting>
  <conditionalFormatting sqref="R471:R479">
    <cfRule type="cellIs" dxfId="135" priority="10" stopIfTrue="1" operator="equal">
      <formula>1</formula>
    </cfRule>
  </conditionalFormatting>
  <conditionalFormatting sqref="R480:R482">
    <cfRule type="cellIs" dxfId="134" priority="9" stopIfTrue="1" operator="equal">
      <formula>1</formula>
    </cfRule>
  </conditionalFormatting>
  <conditionalFormatting sqref="D447:M458 P447:Q458">
    <cfRule type="cellIs" dxfId="133" priority="8" stopIfTrue="1" operator="equal">
      <formula>1</formula>
    </cfRule>
  </conditionalFormatting>
  <conditionalFormatting sqref="N447:O458">
    <cfRule type="cellIs" dxfId="132" priority="7" stopIfTrue="1" operator="equal">
      <formula>1</formula>
    </cfRule>
  </conditionalFormatting>
  <conditionalFormatting sqref="R447:R455">
    <cfRule type="cellIs" dxfId="131" priority="6" stopIfTrue="1" operator="equal">
      <formula>1</formula>
    </cfRule>
  </conditionalFormatting>
  <conditionalFormatting sqref="R456:R458">
    <cfRule type="cellIs" dxfId="130" priority="5" stopIfTrue="1" operator="equal">
      <formula>1</formula>
    </cfRule>
  </conditionalFormatting>
  <conditionalFormatting sqref="D459:M470 P459:Q470">
    <cfRule type="cellIs" dxfId="129" priority="4" stopIfTrue="1" operator="equal">
      <formula>1</formula>
    </cfRule>
  </conditionalFormatting>
  <conditionalFormatting sqref="N459:O470">
    <cfRule type="cellIs" dxfId="128" priority="3" stopIfTrue="1" operator="equal">
      <formula>1</formula>
    </cfRule>
  </conditionalFormatting>
  <conditionalFormatting sqref="R459:R467">
    <cfRule type="cellIs" dxfId="127" priority="2" stopIfTrue="1" operator="equal">
      <formula>1</formula>
    </cfRule>
  </conditionalFormatting>
  <conditionalFormatting sqref="R468:R470">
    <cfRule type="cellIs" dxfId="126" priority="1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25"/>
  <sheetViews>
    <sheetView showZeros="0" view="pageBreakPreview" topLeftCell="A34" zoomScale="80" zoomScaleNormal="100" zoomScaleSheetLayoutView="80" workbookViewId="0">
      <selection activeCell="U39" sqref="U39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'信用保険料計算書（上限2000万）'!E9</f>
        <v>1000000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'信用保険料計算書（上限2000万）'!E10</f>
        <v>500000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500000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'信用保険料計算書（上限2000万）'!E11</f>
        <v>0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'信用保険料計算書（上限2000万）'!E14</f>
        <v>4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'信用保険料計算書（上限2000万）'!E15</f>
        <v>44652</v>
      </c>
      <c r="E12" s="283"/>
      <c r="F12" s="12" t="s">
        <v>29</v>
      </c>
      <c r="G12" s="286">
        <f>IF(D12="","",EDATE(D12,D11*12)-1)</f>
        <v>46112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18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18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18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4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>支払終了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31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32</v>
      </c>
    </row>
    <row r="28" spans="2:22" s="17" customFormat="1" ht="14.4" customHeight="1">
      <c r="B28" s="299"/>
      <c r="C28" s="45">
        <f>DATE(B99,C99,1)</f>
        <v>44805</v>
      </c>
      <c r="D28" s="46">
        <f>EDATE(C28,6)</f>
        <v>44986</v>
      </c>
      <c r="E28" s="46">
        <f>EDATE(D28,6)</f>
        <v>45170</v>
      </c>
      <c r="F28" s="46">
        <f>EDATE(E28,6)</f>
        <v>45352</v>
      </c>
      <c r="G28" s="46">
        <f>EDATE(F28,6)</f>
        <v>45536</v>
      </c>
      <c r="H28" s="46">
        <f t="shared" ref="H28:U28" si="1">EDATE(G28,6)</f>
        <v>45717</v>
      </c>
      <c r="I28" s="46">
        <f t="shared" si="1"/>
        <v>45901</v>
      </c>
      <c r="J28" s="46">
        <f t="shared" si="1"/>
        <v>46082</v>
      </c>
      <c r="K28" s="46">
        <f t="shared" si="1"/>
        <v>46266</v>
      </c>
      <c r="L28" s="46">
        <f t="shared" si="1"/>
        <v>46447</v>
      </c>
      <c r="M28" s="46">
        <f t="shared" si="1"/>
        <v>46631</v>
      </c>
      <c r="N28" s="46">
        <f t="shared" si="1"/>
        <v>46813</v>
      </c>
      <c r="O28" s="46">
        <f t="shared" si="1"/>
        <v>46997</v>
      </c>
      <c r="P28" s="46">
        <f t="shared" si="1"/>
        <v>47178</v>
      </c>
      <c r="Q28" s="46">
        <f t="shared" si="1"/>
        <v>47362</v>
      </c>
      <c r="R28" s="46">
        <f t="shared" si="1"/>
        <v>47543</v>
      </c>
      <c r="S28" s="46">
        <f t="shared" si="1"/>
        <v>47727</v>
      </c>
      <c r="T28" s="46">
        <f t="shared" si="1"/>
        <v>47908</v>
      </c>
      <c r="U28" s="47">
        <f t="shared" si="1"/>
        <v>48092</v>
      </c>
      <c r="V28" s="299"/>
    </row>
    <row r="29" spans="2:22" s="17" customFormat="1" ht="14.4" customHeight="1">
      <c r="B29" s="300"/>
      <c r="C29" s="9" t="s">
        <v>30</v>
      </c>
      <c r="D29" s="10" t="s">
        <v>30</v>
      </c>
      <c r="E29" s="10" t="s">
        <v>30</v>
      </c>
      <c r="F29" s="10" t="s">
        <v>30</v>
      </c>
      <c r="G29" s="10" t="s">
        <v>30</v>
      </c>
      <c r="H29" s="10" t="s">
        <v>30</v>
      </c>
      <c r="I29" s="10" t="s">
        <v>30</v>
      </c>
      <c r="J29" s="10" t="s">
        <v>30</v>
      </c>
      <c r="K29" s="10" t="s">
        <v>30</v>
      </c>
      <c r="L29" s="10" t="s">
        <v>30</v>
      </c>
      <c r="M29" s="10" t="s">
        <v>30</v>
      </c>
      <c r="N29" s="10" t="s">
        <v>30</v>
      </c>
      <c r="O29" s="10" t="s">
        <v>30</v>
      </c>
      <c r="P29" s="10" t="s">
        <v>30</v>
      </c>
      <c r="Q29" s="10" t="s">
        <v>30</v>
      </c>
      <c r="R29" s="10" t="s">
        <v>30</v>
      </c>
      <c r="S29" s="10" t="s">
        <v>30</v>
      </c>
      <c r="T29" s="10" t="s">
        <v>30</v>
      </c>
      <c r="U29" s="11" t="s">
        <v>30</v>
      </c>
      <c r="V29" s="300"/>
    </row>
    <row r="30" spans="2:22" ht="22.2" customHeight="1">
      <c r="B30" s="48" t="s">
        <v>33</v>
      </c>
      <c r="C30" s="49">
        <f t="shared" ref="C30:I30" si="2">C51+C54</f>
        <v>62500</v>
      </c>
      <c r="D30" s="50">
        <f t="shared" si="2"/>
        <v>62500</v>
      </c>
      <c r="E30" s="50">
        <f t="shared" si="2"/>
        <v>62500</v>
      </c>
      <c r="F30" s="50">
        <f t="shared" si="2"/>
        <v>62500</v>
      </c>
      <c r="G30" s="50">
        <f t="shared" si="2"/>
        <v>62500</v>
      </c>
      <c r="H30" s="50">
        <f t="shared" si="2"/>
        <v>62500</v>
      </c>
      <c r="I30" s="50">
        <f t="shared" si="2"/>
        <v>62500</v>
      </c>
      <c r="J30" s="50">
        <f t="shared" ref="J30:U31" si="3">J51+J54</f>
        <v>62500</v>
      </c>
      <c r="K30" s="50">
        <f t="shared" si="3"/>
        <v>0</v>
      </c>
      <c r="L30" s="50">
        <f t="shared" si="3"/>
        <v>0</v>
      </c>
      <c r="M30" s="50">
        <f t="shared" si="3"/>
        <v>0</v>
      </c>
      <c r="N30" s="50">
        <f t="shared" si="3"/>
        <v>0</v>
      </c>
      <c r="O30" s="50">
        <f t="shared" si="3"/>
        <v>0</v>
      </c>
      <c r="P30" s="50">
        <f t="shared" si="3"/>
        <v>0</v>
      </c>
      <c r="Q30" s="50">
        <f t="shared" si="3"/>
        <v>0</v>
      </c>
      <c r="R30" s="50">
        <f t="shared" si="3"/>
        <v>0</v>
      </c>
      <c r="S30" s="50">
        <f t="shared" si="3"/>
        <v>0</v>
      </c>
      <c r="T30" s="50">
        <f t="shared" si="3"/>
        <v>0</v>
      </c>
      <c r="U30" s="51">
        <f t="shared" si="3"/>
        <v>0</v>
      </c>
      <c r="V30" s="52">
        <f t="shared" ref="V30:V35" si="4">SUM(C30:U30)</f>
        <v>500000</v>
      </c>
    </row>
    <row r="31" spans="2:22" ht="22.2" customHeight="1">
      <c r="B31" s="53" t="s">
        <v>41</v>
      </c>
      <c r="C31" s="54">
        <f t="shared" ref="C31:I31" si="5">C52+C55</f>
        <v>6250</v>
      </c>
      <c r="D31" s="54">
        <f t="shared" si="5"/>
        <v>6250</v>
      </c>
      <c r="E31" s="54">
        <f t="shared" si="5"/>
        <v>6250</v>
      </c>
      <c r="F31" s="54">
        <f t="shared" si="5"/>
        <v>6250</v>
      </c>
      <c r="G31" s="54">
        <f t="shared" si="5"/>
        <v>6250</v>
      </c>
      <c r="H31" s="54">
        <f t="shared" si="5"/>
        <v>6250</v>
      </c>
      <c r="I31" s="54">
        <f t="shared" si="5"/>
        <v>6250</v>
      </c>
      <c r="J31" s="54">
        <f>J52+J55</f>
        <v>6250</v>
      </c>
      <c r="K31" s="54">
        <f>K52+K55</f>
        <v>0</v>
      </c>
      <c r="L31" s="54">
        <f t="shared" si="3"/>
        <v>0</v>
      </c>
      <c r="M31" s="54">
        <f t="shared" si="3"/>
        <v>0</v>
      </c>
      <c r="N31" s="54">
        <f t="shared" si="3"/>
        <v>0</v>
      </c>
      <c r="O31" s="54">
        <f t="shared" si="3"/>
        <v>0</v>
      </c>
      <c r="P31" s="54">
        <f t="shared" si="3"/>
        <v>0</v>
      </c>
      <c r="Q31" s="54">
        <f t="shared" si="3"/>
        <v>0</v>
      </c>
      <c r="R31" s="54">
        <f t="shared" si="3"/>
        <v>0</v>
      </c>
      <c r="S31" s="54">
        <f t="shared" si="3"/>
        <v>0</v>
      </c>
      <c r="T31" s="54">
        <f t="shared" si="3"/>
        <v>0</v>
      </c>
      <c r="U31" s="55">
        <f t="shared" si="3"/>
        <v>0</v>
      </c>
      <c r="V31" s="56">
        <f t="shared" si="4"/>
        <v>50000</v>
      </c>
    </row>
    <row r="32" spans="2:22" ht="22.2" customHeight="1">
      <c r="B32" s="48" t="s">
        <v>26</v>
      </c>
      <c r="C32" s="49"/>
      <c r="D32" s="50">
        <f t="shared" ref="D32:N32" si="6">D62</f>
        <v>0</v>
      </c>
      <c r="E32" s="50">
        <f t="shared" si="6"/>
        <v>0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>O62</f>
        <v>0</v>
      </c>
      <c r="P32" s="50">
        <f t="shared" ref="P32:U32" si="7">P62</f>
        <v>0</v>
      </c>
      <c r="Q32" s="50">
        <f t="shared" si="7"/>
        <v>0</v>
      </c>
      <c r="R32" s="50">
        <f t="shared" si="7"/>
        <v>0</v>
      </c>
      <c r="S32" s="50">
        <f t="shared" si="7"/>
        <v>0</v>
      </c>
      <c r="T32" s="50">
        <f t="shared" si="7"/>
        <v>0</v>
      </c>
      <c r="U32" s="51">
        <f t="shared" si="7"/>
        <v>0</v>
      </c>
      <c r="V32" s="52">
        <f t="shared" si="4"/>
        <v>0</v>
      </c>
    </row>
    <row r="33" spans="1:34" ht="22.2" customHeight="1">
      <c r="B33" s="53" t="s">
        <v>42</v>
      </c>
      <c r="C33" s="57"/>
      <c r="D33" s="54">
        <f t="shared" ref="D33:N33" si="8">D32*$E$106</f>
        <v>0</v>
      </c>
      <c r="E33" s="54">
        <f t="shared" si="8"/>
        <v>0</v>
      </c>
      <c r="F33" s="54">
        <f t="shared" si="8"/>
        <v>0</v>
      </c>
      <c r="G33" s="54">
        <f t="shared" si="8"/>
        <v>0</v>
      </c>
      <c r="H33" s="54">
        <f t="shared" si="8"/>
        <v>0</v>
      </c>
      <c r="I33" s="54">
        <f t="shared" si="8"/>
        <v>0</v>
      </c>
      <c r="J33" s="54">
        <f t="shared" si="8"/>
        <v>0</v>
      </c>
      <c r="K33" s="54">
        <f t="shared" si="8"/>
        <v>0</v>
      </c>
      <c r="L33" s="54">
        <f t="shared" si="8"/>
        <v>0</v>
      </c>
      <c r="M33" s="54">
        <f t="shared" si="8"/>
        <v>0</v>
      </c>
      <c r="N33" s="54">
        <f t="shared" si="8"/>
        <v>0</v>
      </c>
      <c r="O33" s="54">
        <f>INT(O32*$E$106)</f>
        <v>0</v>
      </c>
      <c r="P33" s="54">
        <f t="shared" ref="P33:U33" si="9">P32*$E$106</f>
        <v>0</v>
      </c>
      <c r="Q33" s="54">
        <f t="shared" si="9"/>
        <v>0</v>
      </c>
      <c r="R33" s="54">
        <f t="shared" si="9"/>
        <v>0</v>
      </c>
      <c r="S33" s="54">
        <f t="shared" si="9"/>
        <v>0</v>
      </c>
      <c r="T33" s="54">
        <f t="shared" si="9"/>
        <v>0</v>
      </c>
      <c r="U33" s="55">
        <f t="shared" si="9"/>
        <v>0</v>
      </c>
      <c r="V33" s="56">
        <f t="shared" si="4"/>
        <v>0</v>
      </c>
    </row>
    <row r="34" spans="1:34" ht="36" customHeight="1">
      <c r="B34" s="58" t="s">
        <v>52</v>
      </c>
      <c r="C34" s="59">
        <f t="shared" ref="C34:U34" si="10">IF($D$13=6,0,IF($D$13=7,0,(C53+C56)))</f>
        <v>1750</v>
      </c>
      <c r="D34" s="60">
        <f t="shared" si="10"/>
        <v>1531</v>
      </c>
      <c r="E34" s="60">
        <f t="shared" si="10"/>
        <v>1312</v>
      </c>
      <c r="F34" s="60">
        <f t="shared" si="10"/>
        <v>1093</v>
      </c>
      <c r="G34" s="60">
        <f t="shared" si="10"/>
        <v>875</v>
      </c>
      <c r="H34" s="60">
        <f t="shared" si="10"/>
        <v>656</v>
      </c>
      <c r="I34" s="60">
        <f t="shared" si="10"/>
        <v>437</v>
      </c>
      <c r="J34" s="60">
        <f t="shared" si="10"/>
        <v>218</v>
      </c>
      <c r="K34" s="60">
        <f t="shared" si="10"/>
        <v>0</v>
      </c>
      <c r="L34" s="60">
        <f t="shared" si="10"/>
        <v>0</v>
      </c>
      <c r="M34" s="60">
        <f t="shared" si="10"/>
        <v>0</v>
      </c>
      <c r="N34" s="60">
        <f t="shared" si="10"/>
        <v>0</v>
      </c>
      <c r="O34" s="60">
        <f t="shared" si="10"/>
        <v>0</v>
      </c>
      <c r="P34" s="60">
        <f t="shared" si="10"/>
        <v>0</v>
      </c>
      <c r="Q34" s="60">
        <f t="shared" si="10"/>
        <v>0</v>
      </c>
      <c r="R34" s="60">
        <f t="shared" si="10"/>
        <v>0</v>
      </c>
      <c r="S34" s="60">
        <f t="shared" si="10"/>
        <v>0</v>
      </c>
      <c r="T34" s="60">
        <f t="shared" si="10"/>
        <v>0</v>
      </c>
      <c r="U34" s="61">
        <f t="shared" si="10"/>
        <v>0</v>
      </c>
      <c r="V34" s="62">
        <f t="shared" si="4"/>
        <v>7872</v>
      </c>
    </row>
    <row r="35" spans="1:34" ht="22.2" customHeight="1">
      <c r="B35" s="63" t="s">
        <v>44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4"/>
        <v>0</v>
      </c>
    </row>
    <row r="36" spans="1:34" ht="25.2" customHeight="1">
      <c r="B36" s="65" t="s">
        <v>96</v>
      </c>
      <c r="C36" s="66">
        <f t="shared" ref="C36:V36" si="11">SUM(C30:C35)</f>
        <v>70500</v>
      </c>
      <c r="D36" s="67">
        <f t="shared" si="11"/>
        <v>70281</v>
      </c>
      <c r="E36" s="67">
        <f t="shared" si="11"/>
        <v>70062</v>
      </c>
      <c r="F36" s="67">
        <f t="shared" si="11"/>
        <v>69843</v>
      </c>
      <c r="G36" s="67">
        <f t="shared" si="11"/>
        <v>69625</v>
      </c>
      <c r="H36" s="67">
        <f t="shared" si="11"/>
        <v>69406</v>
      </c>
      <c r="I36" s="67">
        <f t="shared" si="11"/>
        <v>69187</v>
      </c>
      <c r="J36" s="67">
        <f t="shared" si="11"/>
        <v>68968</v>
      </c>
      <c r="K36" s="67">
        <f t="shared" si="11"/>
        <v>0</v>
      </c>
      <c r="L36" s="67">
        <f t="shared" si="11"/>
        <v>0</v>
      </c>
      <c r="M36" s="67">
        <f t="shared" si="11"/>
        <v>0</v>
      </c>
      <c r="N36" s="67">
        <f t="shared" si="11"/>
        <v>0</v>
      </c>
      <c r="O36" s="67">
        <f t="shared" si="11"/>
        <v>0</v>
      </c>
      <c r="P36" s="67">
        <f t="shared" si="11"/>
        <v>0</v>
      </c>
      <c r="Q36" s="67">
        <f t="shared" si="11"/>
        <v>0</v>
      </c>
      <c r="R36" s="67">
        <f t="shared" si="11"/>
        <v>0</v>
      </c>
      <c r="S36" s="67">
        <f t="shared" si="11"/>
        <v>0</v>
      </c>
      <c r="T36" s="67">
        <f t="shared" si="11"/>
        <v>0</v>
      </c>
      <c r="U36" s="68">
        <f t="shared" si="11"/>
        <v>0</v>
      </c>
      <c r="V36" s="62">
        <f t="shared" si="11"/>
        <v>557872</v>
      </c>
    </row>
    <row r="37" spans="1:34" ht="18.600000000000001" customHeight="1"/>
    <row r="38" spans="1:34" ht="17.399999999999999" customHeight="1">
      <c r="B38" s="69" t="s">
        <v>51</v>
      </c>
      <c r="E38" s="70"/>
      <c r="I38" s="71" t="s">
        <v>48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73"/>
      <c r="B39" s="74" t="s">
        <v>56</v>
      </c>
      <c r="C39" s="75">
        <f>IF(DATEVALUE("2018/3/31")&lt;$D$12,INT(D9*(1+$E$106)),D9)</f>
        <v>550000</v>
      </c>
      <c r="D39" s="76">
        <f>IF(AND(D48=0,D59=0),(C39-(C30+C31)),IF(AND(D48=1,D59=1),(C39-(C30+C31)),0))</f>
        <v>481250</v>
      </c>
      <c r="E39" s="76">
        <f>IF(AND(E48=0,E59=0),(D39-(D30+D31)),IF(AND(E48=1,E59=1),(D39-(D30+D31)),0))</f>
        <v>412500</v>
      </c>
      <c r="F39" s="76">
        <f t="shared" ref="F39:U39" si="12">IF(AND(F48=0,F59=0),(E39-(E30+E31)),IF(AND(F48=1,F59=1),(E39-(E30+E31)),0))</f>
        <v>343750</v>
      </c>
      <c r="G39" s="76">
        <f t="shared" si="12"/>
        <v>275000</v>
      </c>
      <c r="H39" s="76">
        <f t="shared" si="12"/>
        <v>206250</v>
      </c>
      <c r="I39" s="76">
        <f t="shared" si="12"/>
        <v>137500</v>
      </c>
      <c r="J39" s="76">
        <f t="shared" si="12"/>
        <v>68750</v>
      </c>
      <c r="K39" s="76">
        <f t="shared" si="12"/>
        <v>0</v>
      </c>
      <c r="L39" s="76">
        <f t="shared" si="12"/>
        <v>0</v>
      </c>
      <c r="M39" s="76">
        <f t="shared" si="12"/>
        <v>0</v>
      </c>
      <c r="N39" s="76">
        <f t="shared" si="12"/>
        <v>0</v>
      </c>
      <c r="O39" s="76">
        <f t="shared" si="12"/>
        <v>0</v>
      </c>
      <c r="P39" s="76">
        <f t="shared" si="12"/>
        <v>0</v>
      </c>
      <c r="Q39" s="76">
        <f t="shared" si="12"/>
        <v>0</v>
      </c>
      <c r="R39" s="76">
        <f t="shared" si="12"/>
        <v>0</v>
      </c>
      <c r="S39" s="76">
        <f t="shared" si="12"/>
        <v>0</v>
      </c>
      <c r="T39" s="76">
        <f t="shared" si="12"/>
        <v>0</v>
      </c>
      <c r="U39" s="76">
        <f t="shared" si="12"/>
        <v>0</v>
      </c>
      <c r="V39" s="301" t="s">
        <v>34</v>
      </c>
    </row>
    <row r="40" spans="1:34" ht="16.2" customHeight="1">
      <c r="A40" s="78"/>
      <c r="B40" s="79" t="s">
        <v>57</v>
      </c>
      <c r="C40" s="80">
        <f t="shared" ref="C40:U40" si="13">IF(C39&gt;$F$114,$F$114,C39)</f>
        <v>550000</v>
      </c>
      <c r="D40" s="81">
        <f t="shared" si="13"/>
        <v>481250</v>
      </c>
      <c r="E40" s="81">
        <f t="shared" si="13"/>
        <v>412500</v>
      </c>
      <c r="F40" s="81">
        <f t="shared" si="13"/>
        <v>343750</v>
      </c>
      <c r="G40" s="81">
        <f t="shared" si="13"/>
        <v>275000</v>
      </c>
      <c r="H40" s="81">
        <f t="shared" si="13"/>
        <v>206250</v>
      </c>
      <c r="I40" s="81">
        <f t="shared" si="13"/>
        <v>137500</v>
      </c>
      <c r="J40" s="81">
        <f t="shared" si="13"/>
        <v>68750</v>
      </c>
      <c r="K40" s="81">
        <f t="shared" si="13"/>
        <v>0</v>
      </c>
      <c r="L40" s="81">
        <f t="shared" si="13"/>
        <v>0</v>
      </c>
      <c r="M40" s="81">
        <f t="shared" si="13"/>
        <v>0</v>
      </c>
      <c r="N40" s="81">
        <f t="shared" si="13"/>
        <v>0</v>
      </c>
      <c r="O40" s="81">
        <f t="shared" si="13"/>
        <v>0</v>
      </c>
      <c r="P40" s="81">
        <f t="shared" si="13"/>
        <v>0</v>
      </c>
      <c r="Q40" s="81">
        <f t="shared" si="13"/>
        <v>0</v>
      </c>
      <c r="R40" s="82">
        <f t="shared" si="13"/>
        <v>0</v>
      </c>
      <c r="S40" s="83">
        <f t="shared" si="13"/>
        <v>0</v>
      </c>
      <c r="T40" s="83">
        <f t="shared" si="13"/>
        <v>0</v>
      </c>
      <c r="U40" s="84">
        <f t="shared" si="13"/>
        <v>0</v>
      </c>
      <c r="V40" s="302"/>
    </row>
    <row r="41" spans="1:34" ht="16.2" customHeight="1">
      <c r="A41" s="78"/>
      <c r="B41" s="85" t="s">
        <v>46</v>
      </c>
      <c r="C41" s="86">
        <f>INT(ROUNDDOWN((ROUNDDOWN(C40*0.0048/12,2))*6,0)*$D$65)</f>
        <v>1320</v>
      </c>
      <c r="D41" s="87">
        <f>IF(AND(D48=0,D59=0),INT(ROUNDDOWN(D40*0.0048/12,2)*6),IF(AND(D48=1,D59=1),INT(ROUNDDOWN((ROUNDDOWN(D40*0.0048/12,2))*6,0)*$E$65),0))</f>
        <v>1155</v>
      </c>
      <c r="E41" s="87">
        <f t="shared" ref="E41:U41" si="14">IF(AND(E48=0,E59=0),INT(ROUNDDOWN(E40*0.0048/12,2)*6),IF(AND(E48=1,E59=1),INT(ROUNDDOWN((ROUNDDOWN(E40*0.0048/12,2))*6,0)*$E$65),0))</f>
        <v>990</v>
      </c>
      <c r="F41" s="87">
        <f t="shared" si="14"/>
        <v>825</v>
      </c>
      <c r="G41" s="87">
        <f t="shared" si="14"/>
        <v>660</v>
      </c>
      <c r="H41" s="87">
        <f t="shared" si="14"/>
        <v>495</v>
      </c>
      <c r="I41" s="87">
        <f t="shared" si="14"/>
        <v>330</v>
      </c>
      <c r="J41" s="87">
        <f t="shared" si="14"/>
        <v>165</v>
      </c>
      <c r="K41" s="87">
        <f t="shared" si="14"/>
        <v>0</v>
      </c>
      <c r="L41" s="87">
        <f t="shared" si="14"/>
        <v>0</v>
      </c>
      <c r="M41" s="87">
        <f t="shared" si="14"/>
        <v>0</v>
      </c>
      <c r="N41" s="87">
        <f t="shared" si="14"/>
        <v>0</v>
      </c>
      <c r="O41" s="87">
        <f t="shared" si="14"/>
        <v>0</v>
      </c>
      <c r="P41" s="87">
        <f t="shared" si="14"/>
        <v>0</v>
      </c>
      <c r="Q41" s="87">
        <f t="shared" si="14"/>
        <v>0</v>
      </c>
      <c r="R41" s="88">
        <f t="shared" si="14"/>
        <v>0</v>
      </c>
      <c r="S41" s="89">
        <f t="shared" si="14"/>
        <v>0</v>
      </c>
      <c r="T41" s="89">
        <f t="shared" si="14"/>
        <v>0</v>
      </c>
      <c r="U41" s="90">
        <f t="shared" si="14"/>
        <v>0</v>
      </c>
      <c r="V41" s="91">
        <f>SUM(C41:U41)</f>
        <v>5940</v>
      </c>
    </row>
    <row r="42" spans="1:34" ht="24">
      <c r="A42" s="78"/>
      <c r="B42" s="92" t="s">
        <v>58</v>
      </c>
      <c r="C42" s="93">
        <f>IF(C39*0.95&gt;$F$114,$F$114,C39*0.95)</f>
        <v>522500</v>
      </c>
      <c r="D42" s="94">
        <f>IF(D39*0.95&gt;$F$114,$F$114,D39*0.95)</f>
        <v>457187.5</v>
      </c>
      <c r="E42" s="94">
        <f t="shared" ref="E42:U42" si="15">IF(E39*0.95&gt;$F$114,$F$114,E39*0.95)</f>
        <v>391875</v>
      </c>
      <c r="F42" s="94">
        <f t="shared" si="15"/>
        <v>326562.5</v>
      </c>
      <c r="G42" s="94">
        <f t="shared" si="15"/>
        <v>261250</v>
      </c>
      <c r="H42" s="94">
        <f t="shared" si="15"/>
        <v>195937.5</v>
      </c>
      <c r="I42" s="94">
        <f t="shared" si="15"/>
        <v>130625</v>
      </c>
      <c r="J42" s="94">
        <f t="shared" si="15"/>
        <v>65312.5</v>
      </c>
      <c r="K42" s="94">
        <f t="shared" si="15"/>
        <v>0</v>
      </c>
      <c r="L42" s="94">
        <f t="shared" si="15"/>
        <v>0</v>
      </c>
      <c r="M42" s="94">
        <f t="shared" si="15"/>
        <v>0</v>
      </c>
      <c r="N42" s="94">
        <f t="shared" si="15"/>
        <v>0</v>
      </c>
      <c r="O42" s="94">
        <f t="shared" si="15"/>
        <v>0</v>
      </c>
      <c r="P42" s="94">
        <f t="shared" si="15"/>
        <v>0</v>
      </c>
      <c r="Q42" s="94">
        <f t="shared" si="15"/>
        <v>0</v>
      </c>
      <c r="R42" s="95">
        <f t="shared" si="15"/>
        <v>0</v>
      </c>
      <c r="S42" s="96">
        <f t="shared" si="15"/>
        <v>0</v>
      </c>
      <c r="T42" s="96">
        <f t="shared" si="15"/>
        <v>0</v>
      </c>
      <c r="U42" s="97">
        <f t="shared" si="15"/>
        <v>0</v>
      </c>
      <c r="V42" s="62"/>
    </row>
    <row r="43" spans="1:34" ht="13.8" thickBot="1"/>
    <row r="44" spans="1:34" ht="16.8" thickBot="1">
      <c r="A44" s="98"/>
      <c r="B44" s="99" t="s">
        <v>47</v>
      </c>
      <c r="C44" s="100">
        <f>K106</f>
        <v>7.0000000000000001E-3</v>
      </c>
      <c r="R44" s="303" t="s">
        <v>62</v>
      </c>
      <c r="S44" s="303"/>
      <c r="T44" s="303"/>
      <c r="U44" s="303"/>
      <c r="V44" s="101">
        <f>V30+V32</f>
        <v>500000</v>
      </c>
      <c r="W44" s="102" t="str">
        <f>IF(V44=D9,"OK","エラー")</f>
        <v>OK</v>
      </c>
    </row>
    <row r="45" spans="1:34" ht="13.8" thickBot="1">
      <c r="A45" s="103">
        <f>MONTH(D12)</f>
        <v>4</v>
      </c>
      <c r="B45" s="14" t="s">
        <v>0</v>
      </c>
    </row>
    <row r="46" spans="1:34">
      <c r="A46" s="232"/>
    </row>
    <row r="47" spans="1:34">
      <c r="B47" s="14" t="s">
        <v>27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69</v>
      </c>
      <c r="C48" s="104">
        <f t="shared" ref="C48:U48" si="16">IF((IF($D$11&gt;$G$114,$G$114,$D$11)*2)&lt;C47,1,0)</f>
        <v>0</v>
      </c>
      <c r="D48" s="104">
        <f t="shared" si="16"/>
        <v>0</v>
      </c>
      <c r="E48" s="104">
        <f t="shared" si="16"/>
        <v>0</v>
      </c>
      <c r="F48" s="104">
        <f t="shared" si="16"/>
        <v>0</v>
      </c>
      <c r="G48" s="104">
        <f t="shared" si="16"/>
        <v>0</v>
      </c>
      <c r="H48" s="104">
        <f t="shared" si="16"/>
        <v>0</v>
      </c>
      <c r="I48" s="104">
        <f t="shared" si="16"/>
        <v>0</v>
      </c>
      <c r="J48" s="104">
        <f t="shared" si="16"/>
        <v>0</v>
      </c>
      <c r="K48" s="104">
        <f t="shared" si="16"/>
        <v>1</v>
      </c>
      <c r="L48" s="104">
        <f t="shared" si="16"/>
        <v>1</v>
      </c>
      <c r="M48" s="104">
        <f t="shared" si="16"/>
        <v>1</v>
      </c>
      <c r="N48" s="104">
        <f t="shared" si="16"/>
        <v>1</v>
      </c>
      <c r="O48" s="104">
        <f t="shared" si="16"/>
        <v>1</v>
      </c>
      <c r="P48" s="104">
        <f t="shared" si="16"/>
        <v>1</v>
      </c>
      <c r="Q48" s="104">
        <f t="shared" si="16"/>
        <v>1</v>
      </c>
      <c r="R48" s="104">
        <f t="shared" si="16"/>
        <v>1</v>
      </c>
      <c r="S48" s="104">
        <f t="shared" si="16"/>
        <v>1</v>
      </c>
      <c r="T48" s="104">
        <f t="shared" si="16"/>
        <v>1</v>
      </c>
      <c r="U48" s="104">
        <f t="shared" si="16"/>
        <v>1</v>
      </c>
      <c r="V48" s="104">
        <f t="shared" ref="V48:AG48" si="17">IF((IF($D$8&gt;9,9,$D$8)*2)&lt;V47,1,0)</f>
        <v>0</v>
      </c>
      <c r="W48" s="104">
        <f t="shared" si="17"/>
        <v>0</v>
      </c>
      <c r="X48" s="104">
        <f t="shared" si="17"/>
        <v>0</v>
      </c>
      <c r="Y48" s="104">
        <f t="shared" si="17"/>
        <v>0</v>
      </c>
      <c r="Z48" s="104">
        <f t="shared" si="17"/>
        <v>0</v>
      </c>
      <c r="AA48" s="104">
        <f t="shared" si="17"/>
        <v>0</v>
      </c>
      <c r="AB48" s="104">
        <f t="shared" si="17"/>
        <v>0</v>
      </c>
      <c r="AC48" s="104">
        <f t="shared" si="17"/>
        <v>0</v>
      </c>
      <c r="AD48" s="104">
        <f t="shared" si="17"/>
        <v>0</v>
      </c>
      <c r="AE48" s="104">
        <f t="shared" si="17"/>
        <v>0</v>
      </c>
      <c r="AF48" s="104">
        <f t="shared" si="17"/>
        <v>0</v>
      </c>
      <c r="AG48" s="104">
        <f t="shared" si="17"/>
        <v>0</v>
      </c>
      <c r="AH48" s="104" t="s">
        <v>97</v>
      </c>
    </row>
    <row r="49" spans="1:29">
      <c r="B49" s="14" t="s">
        <v>98</v>
      </c>
      <c r="C49" s="14">
        <f>IF($D$11*2&lt;C47,1,0)</f>
        <v>0</v>
      </c>
      <c r="D49" s="14">
        <f>IF($D$11*2&lt;D47,1,0)</f>
        <v>0</v>
      </c>
      <c r="E49" s="14">
        <f>IF($D$11*2&lt;E47,1,0)</f>
        <v>0</v>
      </c>
      <c r="F49" s="105">
        <f>IF($D$11*2&lt;F47,1,0)</f>
        <v>0</v>
      </c>
      <c r="G49" s="105">
        <f t="shared" ref="G49:U49" si="18">IF($D$11*2&lt;G47,1,0)</f>
        <v>0</v>
      </c>
      <c r="H49" s="105">
        <f t="shared" si="18"/>
        <v>0</v>
      </c>
      <c r="I49" s="105">
        <f t="shared" si="18"/>
        <v>0</v>
      </c>
      <c r="J49" s="105">
        <f t="shared" si="18"/>
        <v>0</v>
      </c>
      <c r="K49" s="105">
        <f t="shared" si="18"/>
        <v>1</v>
      </c>
      <c r="L49" s="105">
        <f t="shared" si="18"/>
        <v>1</v>
      </c>
      <c r="M49" s="105">
        <f t="shared" si="18"/>
        <v>1</v>
      </c>
      <c r="N49" s="105">
        <f t="shared" si="18"/>
        <v>1</v>
      </c>
      <c r="O49" s="105">
        <f t="shared" si="18"/>
        <v>1</v>
      </c>
      <c r="P49" s="105">
        <f t="shared" si="18"/>
        <v>1</v>
      </c>
      <c r="Q49" s="105">
        <f t="shared" si="18"/>
        <v>1</v>
      </c>
      <c r="R49" s="105">
        <f t="shared" si="18"/>
        <v>1</v>
      </c>
      <c r="S49" s="105">
        <f t="shared" si="18"/>
        <v>1</v>
      </c>
      <c r="T49" s="105">
        <f t="shared" si="18"/>
        <v>1</v>
      </c>
      <c r="U49" s="105">
        <f t="shared" si="18"/>
        <v>1</v>
      </c>
      <c r="V49" s="14" t="s">
        <v>99</v>
      </c>
    </row>
    <row r="50" spans="1:29">
      <c r="A50" s="106" t="s">
        <v>26</v>
      </c>
      <c r="B50" s="107" t="s">
        <v>23</v>
      </c>
      <c r="C50" s="107"/>
      <c r="D50" s="107">
        <f>C51</f>
        <v>62500</v>
      </c>
      <c r="E50" s="107">
        <f>IF(E49=1,0,SUM($C$51:D51))</f>
        <v>125000</v>
      </c>
      <c r="F50" s="107">
        <f>IF(F49=1,0,SUM($C$51:E51))</f>
        <v>187500</v>
      </c>
      <c r="G50" s="107">
        <f>IF(G49=1,0,SUM($C$51:F51))</f>
        <v>250000</v>
      </c>
      <c r="H50" s="107">
        <f>IF(H49=1,0,SUM($C$51:G51))</f>
        <v>312500</v>
      </c>
      <c r="I50" s="107">
        <f>IF(I49=1,0,SUM(C51:H51))</f>
        <v>375000</v>
      </c>
      <c r="J50" s="107">
        <f>IF(J49=1,0,SUM(C51:I51))</f>
        <v>437500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23</v>
      </c>
    </row>
    <row r="51" spans="1:29">
      <c r="A51" s="106">
        <f>INT(D9*F10)</f>
        <v>0</v>
      </c>
      <c r="B51" s="107" t="s">
        <v>28</v>
      </c>
      <c r="C51" s="108">
        <f>(D9)-(SUM(D51:U51)+SUM(D54:U54)+A51)</f>
        <v>62500</v>
      </c>
      <c r="D51" s="108">
        <f>INT((D9-A51)/(D11*2))</f>
        <v>62500</v>
      </c>
      <c r="E51" s="108">
        <f t="shared" ref="E51" si="19">IF(E49=1,0,D51)</f>
        <v>62500</v>
      </c>
      <c r="F51" s="108">
        <f t="shared" ref="F51" si="20">IF(F49=1,0,E51)</f>
        <v>62500</v>
      </c>
      <c r="G51" s="108">
        <f t="shared" ref="G51" si="21">IF(G49=1,0,F51)</f>
        <v>62500</v>
      </c>
      <c r="H51" s="108">
        <f t="shared" ref="H51" si="22">IF(H49=1,0,G51)</f>
        <v>62500</v>
      </c>
      <c r="I51" s="108">
        <f t="shared" ref="I51" si="23">IF(I49=1,0,H51)</f>
        <v>62500</v>
      </c>
      <c r="J51" s="108">
        <f t="shared" ref="J51:T51" si="24">IF(J49=1,0,I51)</f>
        <v>62500</v>
      </c>
      <c r="K51" s="108">
        <f t="shared" si="24"/>
        <v>0</v>
      </c>
      <c r="L51" s="108">
        <f t="shared" si="24"/>
        <v>0</v>
      </c>
      <c r="M51" s="108">
        <f t="shared" si="24"/>
        <v>0</v>
      </c>
      <c r="N51" s="108">
        <f t="shared" si="24"/>
        <v>0</v>
      </c>
      <c r="O51" s="108">
        <f t="shared" si="24"/>
        <v>0</v>
      </c>
      <c r="P51" s="108">
        <f t="shared" si="24"/>
        <v>0</v>
      </c>
      <c r="Q51" s="108">
        <f t="shared" si="24"/>
        <v>0</v>
      </c>
      <c r="R51" s="108">
        <f t="shared" si="24"/>
        <v>0</v>
      </c>
      <c r="S51" s="108">
        <f t="shared" si="24"/>
        <v>0</v>
      </c>
      <c r="T51" s="108">
        <f t="shared" si="24"/>
        <v>0</v>
      </c>
      <c r="U51" s="108"/>
      <c r="V51" s="14" t="s">
        <v>37</v>
      </c>
    </row>
    <row r="52" spans="1:29">
      <c r="B52" s="107" t="s">
        <v>24</v>
      </c>
      <c r="C52" s="108">
        <f>INT((D9-A51)*E106)-SUM(D52:T52)-SUM(D55:U55)</f>
        <v>6250</v>
      </c>
      <c r="D52" s="108">
        <f t="shared" ref="D52" si="25">INT(D51*$E$106)</f>
        <v>6250</v>
      </c>
      <c r="E52" s="108">
        <f>INT(E51*$E$106)</f>
        <v>6250</v>
      </c>
      <c r="F52" s="108">
        <f t="shared" ref="F52:U52" si="26">INT(F51*$E$106)</f>
        <v>6250</v>
      </c>
      <c r="G52" s="108">
        <f t="shared" si="26"/>
        <v>6250</v>
      </c>
      <c r="H52" s="108">
        <f t="shared" si="26"/>
        <v>6250</v>
      </c>
      <c r="I52" s="108">
        <f t="shared" si="26"/>
        <v>6250</v>
      </c>
      <c r="J52" s="108">
        <f t="shared" si="26"/>
        <v>6250</v>
      </c>
      <c r="K52" s="108">
        <f t="shared" si="26"/>
        <v>0</v>
      </c>
      <c r="L52" s="108">
        <f t="shared" si="26"/>
        <v>0</v>
      </c>
      <c r="M52" s="108">
        <f t="shared" si="26"/>
        <v>0</v>
      </c>
      <c r="N52" s="108">
        <f t="shared" si="26"/>
        <v>0</v>
      </c>
      <c r="O52" s="108">
        <f t="shared" si="26"/>
        <v>0</v>
      </c>
      <c r="P52" s="108">
        <f t="shared" si="26"/>
        <v>0</v>
      </c>
      <c r="Q52" s="108">
        <f t="shared" si="26"/>
        <v>0</v>
      </c>
      <c r="R52" s="108">
        <f t="shared" si="26"/>
        <v>0</v>
      </c>
      <c r="S52" s="108">
        <f t="shared" si="26"/>
        <v>0</v>
      </c>
      <c r="T52" s="108">
        <f t="shared" si="26"/>
        <v>0</v>
      </c>
      <c r="U52" s="108">
        <f t="shared" si="26"/>
        <v>0</v>
      </c>
      <c r="V52" s="14" t="s">
        <v>36</v>
      </c>
    </row>
    <row r="53" spans="1:29">
      <c r="B53" s="107" t="s">
        <v>25</v>
      </c>
      <c r="C53" s="108">
        <f>INT(D9*(C44)/2*D65)</f>
        <v>1750</v>
      </c>
      <c r="D53" s="108">
        <f t="shared" ref="D53:U53" si="27">INT(IF(D49=1,0,($D$9-D50)*($C$44)/2))</f>
        <v>1531</v>
      </c>
      <c r="E53" s="108">
        <f t="shared" si="27"/>
        <v>1312</v>
      </c>
      <c r="F53" s="108">
        <f t="shared" si="27"/>
        <v>1093</v>
      </c>
      <c r="G53" s="108">
        <f t="shared" si="27"/>
        <v>875</v>
      </c>
      <c r="H53" s="108">
        <f t="shared" si="27"/>
        <v>656</v>
      </c>
      <c r="I53" s="108">
        <f t="shared" si="27"/>
        <v>437</v>
      </c>
      <c r="J53" s="108">
        <f t="shared" si="27"/>
        <v>218</v>
      </c>
      <c r="K53" s="108">
        <f t="shared" si="27"/>
        <v>0</v>
      </c>
      <c r="L53" s="108">
        <f t="shared" si="27"/>
        <v>0</v>
      </c>
      <c r="M53" s="108">
        <f t="shared" si="27"/>
        <v>0</v>
      </c>
      <c r="N53" s="108">
        <f t="shared" si="27"/>
        <v>0</v>
      </c>
      <c r="O53" s="108">
        <f t="shared" si="27"/>
        <v>0</v>
      </c>
      <c r="P53" s="108">
        <f t="shared" si="27"/>
        <v>0</v>
      </c>
      <c r="Q53" s="108">
        <f t="shared" si="27"/>
        <v>0</v>
      </c>
      <c r="R53" s="108">
        <f t="shared" si="27"/>
        <v>0</v>
      </c>
      <c r="S53" s="108">
        <f t="shared" si="27"/>
        <v>0</v>
      </c>
      <c r="T53" s="108">
        <f t="shared" si="27"/>
        <v>0</v>
      </c>
      <c r="U53" s="108">
        <f t="shared" si="27"/>
        <v>0</v>
      </c>
      <c r="V53" s="14" t="s">
        <v>25</v>
      </c>
    </row>
    <row r="54" spans="1:29">
      <c r="A54" s="109"/>
      <c r="B54" s="107" t="s">
        <v>35</v>
      </c>
      <c r="C54" s="110"/>
      <c r="D54" s="110"/>
      <c r="E54" s="111">
        <f t="shared" ref="E54" si="28">INT(E60*$E$65*D51)</f>
        <v>0</v>
      </c>
      <c r="F54" s="111">
        <f t="shared" ref="F54" si="29">INT(F60*$E$65*E51)</f>
        <v>0</v>
      </c>
      <c r="G54" s="111">
        <f t="shared" ref="G54:U54" si="30">INT(G60*$E$65*F51)</f>
        <v>0</v>
      </c>
      <c r="H54" s="111">
        <f t="shared" si="30"/>
        <v>0</v>
      </c>
      <c r="I54" s="111">
        <f t="shared" si="30"/>
        <v>0</v>
      </c>
      <c r="J54" s="111">
        <f t="shared" si="30"/>
        <v>0</v>
      </c>
      <c r="K54" s="111">
        <f t="shared" si="30"/>
        <v>0</v>
      </c>
      <c r="L54" s="111">
        <f t="shared" si="30"/>
        <v>0</v>
      </c>
      <c r="M54" s="111">
        <f t="shared" si="30"/>
        <v>0</v>
      </c>
      <c r="N54" s="111">
        <f t="shared" si="30"/>
        <v>0</v>
      </c>
      <c r="O54" s="111">
        <f t="shared" si="30"/>
        <v>0</v>
      </c>
      <c r="P54" s="111">
        <f t="shared" si="30"/>
        <v>0</v>
      </c>
      <c r="Q54" s="111">
        <f t="shared" si="30"/>
        <v>0</v>
      </c>
      <c r="R54" s="111">
        <f t="shared" si="30"/>
        <v>0</v>
      </c>
      <c r="S54" s="111">
        <f t="shared" si="30"/>
        <v>0</v>
      </c>
      <c r="T54" s="111">
        <f t="shared" si="30"/>
        <v>0</v>
      </c>
      <c r="U54" s="111">
        <f t="shared" si="30"/>
        <v>0</v>
      </c>
      <c r="V54" s="14" t="s">
        <v>35</v>
      </c>
    </row>
    <row r="55" spans="1:29">
      <c r="A55" s="112"/>
      <c r="B55" s="107" t="s">
        <v>36</v>
      </c>
      <c r="C55" s="107">
        <f t="shared" ref="C55" si="31">INT(C54*$E$106)</f>
        <v>0</v>
      </c>
      <c r="D55" s="107">
        <f t="shared" ref="D55" si="32">INT(D54*$E$106)</f>
        <v>0</v>
      </c>
      <c r="E55" s="107">
        <f t="shared" ref="E55" si="33">INT(E54*$E$106)</f>
        <v>0</v>
      </c>
      <c r="F55" s="107">
        <f t="shared" ref="F55" si="34">INT(F54*$E$106)</f>
        <v>0</v>
      </c>
      <c r="G55" s="107">
        <f t="shared" ref="G55" si="35">INT(G54*$E$106)</f>
        <v>0</v>
      </c>
      <c r="H55" s="107">
        <f t="shared" ref="H55" si="36">INT(H54*$E$106)</f>
        <v>0</v>
      </c>
      <c r="I55" s="108">
        <f t="shared" ref="I55" si="37">INT(I54*$E$106)</f>
        <v>0</v>
      </c>
      <c r="J55" s="108">
        <f t="shared" ref="J55" si="38">INT(J54*$E$106)</f>
        <v>0</v>
      </c>
      <c r="K55" s="108">
        <f t="shared" ref="K55" si="39">INT(K54*$E$106)</f>
        <v>0</v>
      </c>
      <c r="L55" s="108">
        <f t="shared" ref="L55" si="40">INT(L54*$E$106)</f>
        <v>0</v>
      </c>
      <c r="M55" s="108">
        <f t="shared" ref="M55" si="41">INT(M54*$E$106)</f>
        <v>0</v>
      </c>
      <c r="N55" s="108">
        <f t="shared" ref="N55" si="42">INT(N54*$E$106)</f>
        <v>0</v>
      </c>
      <c r="O55" s="108">
        <f t="shared" ref="O55" si="43">INT(O54*$E$106)</f>
        <v>0</v>
      </c>
      <c r="P55" s="108">
        <f t="shared" ref="P55" si="44">INT(P54*$E$106)</f>
        <v>0</v>
      </c>
      <c r="Q55" s="108">
        <f t="shared" ref="Q55" si="45">INT(Q54*$E$106)</f>
        <v>0</v>
      </c>
      <c r="R55" s="108">
        <f t="shared" ref="R55" si="46">INT(R54*$E$106)</f>
        <v>0</v>
      </c>
      <c r="S55" s="108">
        <f t="shared" ref="S55" si="47">INT(S54*$E$106)</f>
        <v>0</v>
      </c>
      <c r="T55" s="108">
        <f t="shared" ref="T55" si="48">INT(T54*$E$106)</f>
        <v>0</v>
      </c>
      <c r="U55" s="108">
        <f t="shared" ref="U55" si="49">INT(U54*$E$106)</f>
        <v>0</v>
      </c>
      <c r="V55" s="14" t="s">
        <v>36</v>
      </c>
    </row>
    <row r="56" spans="1:29">
      <c r="A56" s="233"/>
      <c r="B56" s="107" t="s">
        <v>25</v>
      </c>
      <c r="C56" s="108"/>
      <c r="D56" s="107"/>
      <c r="E56" s="108">
        <f>INT((($D$9-SUM($C$51:D51))*($C$44)/2)*$E$65*E60)</f>
        <v>0</v>
      </c>
      <c r="F56" s="108">
        <f>INT((($D$9-SUM($C$51:E51))*($C$44)/2)*$E$65*F60)</f>
        <v>0</v>
      </c>
      <c r="G56" s="108">
        <f>INT((($D$9-SUM($C$51:F51))*($C$44)/2)*$E$65*G60)</f>
        <v>0</v>
      </c>
      <c r="H56" s="108">
        <f>INT((($D$9-SUM($C$51:G51))*($C$44)/2)*$E$65*H60)</f>
        <v>0</v>
      </c>
      <c r="I56" s="108">
        <f>INT((($D$9-SUM($C$51:H51))*($C$44)/2)*$E$65*I60)</f>
        <v>0</v>
      </c>
      <c r="J56" s="108">
        <f>INT((($D$9-SUM($C$51:I51))*($C$44)/2)*$E$65*J60)</f>
        <v>0</v>
      </c>
      <c r="K56" s="108">
        <f>INT((($D$9-SUM($C$51:J51))*($C$44)/2)*$E$65*K60)</f>
        <v>0</v>
      </c>
      <c r="L56" s="108">
        <f>INT((($D$9-SUM($C$51:K51))*($C$44)/2)*$E$65*L60)</f>
        <v>0</v>
      </c>
      <c r="M56" s="108">
        <f>INT((($D$9-SUM($C$51:L51))*($C$44)/2)*$E$65*M60)</f>
        <v>0</v>
      </c>
      <c r="N56" s="108">
        <f>INT((($D$9-SUM($C$51:M51))*($C$44)/2)*$E$65*N60)</f>
        <v>0</v>
      </c>
      <c r="O56" s="108">
        <f>INT((($D$9-SUM($C$51:N51))*($C$44)/2)*$E$65*O60)</f>
        <v>0</v>
      </c>
      <c r="P56" s="108">
        <f>INT((($D$9-SUM($C$51:O51))*($C$44)/2)*$E$65*P60)</f>
        <v>0</v>
      </c>
      <c r="Q56" s="108">
        <f>INT((($D$9-SUM($C$51:P51))*($C$44)/2)*$E$65*Q60)</f>
        <v>0</v>
      </c>
      <c r="R56" s="108">
        <f>INT((($D$9-SUM($C$51:Q51))*($C$44)/2)*$E$65*R60)</f>
        <v>0</v>
      </c>
      <c r="S56" s="113">
        <f>INT((($D$9-SUM($C$51:R51))*($C$44)/2)*$E$65*S60)</f>
        <v>0</v>
      </c>
      <c r="T56" s="108">
        <f>INT((($D$9-SUM($C$51:S51))*($C$44)/2)*$E$65*T60)</f>
        <v>0</v>
      </c>
      <c r="U56" s="108">
        <f>INT((($D$9-SUM($C$51:T51))*($C$44)/2)*$E$65*U60)</f>
        <v>0</v>
      </c>
      <c r="V56" s="14" t="s">
        <v>25</v>
      </c>
    </row>
    <row r="59" spans="1:29">
      <c r="B59" s="16" t="s">
        <v>75</v>
      </c>
      <c r="C59" s="15">
        <f>IF(C47=$I$64,IF($H$64=1,1,0),0)</f>
        <v>0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50">IF(F47=$I$64,IF($H$64=1,1,0),0)</f>
        <v>0</v>
      </c>
      <c r="G59" s="15">
        <f t="shared" si="50"/>
        <v>0</v>
      </c>
      <c r="H59" s="15">
        <f t="shared" si="50"/>
        <v>0</v>
      </c>
      <c r="I59" s="15">
        <f t="shared" si="50"/>
        <v>0</v>
      </c>
      <c r="J59" s="15">
        <f t="shared" si="50"/>
        <v>0</v>
      </c>
      <c r="K59" s="15">
        <f t="shared" si="50"/>
        <v>0</v>
      </c>
      <c r="L59" s="15">
        <f t="shared" si="50"/>
        <v>0</v>
      </c>
      <c r="M59" s="15">
        <f t="shared" si="50"/>
        <v>0</v>
      </c>
      <c r="N59" s="15">
        <f t="shared" si="50"/>
        <v>0</v>
      </c>
      <c r="O59" s="15">
        <f t="shared" si="50"/>
        <v>0</v>
      </c>
      <c r="P59" s="15">
        <f t="shared" si="50"/>
        <v>0</v>
      </c>
      <c r="Q59" s="15">
        <f t="shared" si="50"/>
        <v>0</v>
      </c>
      <c r="R59" s="15">
        <f t="shared" si="50"/>
        <v>0</v>
      </c>
      <c r="S59" s="15">
        <f t="shared" si="50"/>
        <v>0</v>
      </c>
      <c r="T59" s="15">
        <f t="shared" si="50"/>
        <v>0</v>
      </c>
      <c r="U59" s="15">
        <f t="shared" si="50"/>
        <v>0</v>
      </c>
      <c r="V59" s="78"/>
    </row>
    <row r="60" spans="1:29">
      <c r="B60" s="114" t="s">
        <v>74</v>
      </c>
      <c r="C60" s="115">
        <f t="shared" ref="C60:M60" si="51">IF(C47=$I$65,IF($H$65=1,1,0),0)</f>
        <v>0</v>
      </c>
      <c r="D60" s="115">
        <f t="shared" si="51"/>
        <v>0</v>
      </c>
      <c r="E60" s="115">
        <f t="shared" si="51"/>
        <v>0</v>
      </c>
      <c r="F60" s="115">
        <f t="shared" si="51"/>
        <v>0</v>
      </c>
      <c r="G60" s="115">
        <f t="shared" si="51"/>
        <v>0</v>
      </c>
      <c r="H60" s="115">
        <f t="shared" si="51"/>
        <v>0</v>
      </c>
      <c r="I60" s="115">
        <f t="shared" si="51"/>
        <v>0</v>
      </c>
      <c r="J60" s="115">
        <f t="shared" si="51"/>
        <v>0</v>
      </c>
      <c r="K60" s="115">
        <f t="shared" si="51"/>
        <v>0</v>
      </c>
      <c r="L60" s="115">
        <f t="shared" si="51"/>
        <v>0</v>
      </c>
      <c r="M60" s="115">
        <f t="shared" si="51"/>
        <v>0</v>
      </c>
      <c r="N60" s="115">
        <f>IF(N47=$I$65,IF($H$65=1,1,0),0)</f>
        <v>0</v>
      </c>
      <c r="O60" s="115">
        <f t="shared" ref="O60:U60" si="52">IF(O47=$I$65,IF($H$65=1,1,0),0)</f>
        <v>0</v>
      </c>
      <c r="P60" s="115">
        <f t="shared" si="52"/>
        <v>0</v>
      </c>
      <c r="Q60" s="115">
        <f t="shared" si="52"/>
        <v>0</v>
      </c>
      <c r="R60" s="115">
        <f t="shared" si="52"/>
        <v>0</v>
      </c>
      <c r="S60" s="115">
        <f t="shared" si="52"/>
        <v>0</v>
      </c>
      <c r="T60" s="115">
        <f t="shared" si="52"/>
        <v>0</v>
      </c>
      <c r="U60" s="115">
        <f t="shared" si="52"/>
        <v>0</v>
      </c>
      <c r="V60" s="78"/>
    </row>
    <row r="61" spans="1:29">
      <c r="A61" s="78"/>
      <c r="B61" s="11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8"/>
      <c r="Q61" s="78"/>
      <c r="R61" s="180"/>
    </row>
    <row r="62" spans="1:29">
      <c r="A62" s="78"/>
      <c r="B62" s="117" t="s">
        <v>26</v>
      </c>
      <c r="C62" s="114"/>
      <c r="D62" s="114">
        <f t="shared" ref="D62:P62" si="53">IF($H$65=1,$D$9*$F$10*D60,IF(D49=1,0,IF(E49=1,$D$9*$F$10,0)))</f>
        <v>0</v>
      </c>
      <c r="E62" s="114">
        <f t="shared" si="53"/>
        <v>0</v>
      </c>
      <c r="F62" s="114">
        <f t="shared" si="53"/>
        <v>0</v>
      </c>
      <c r="G62" s="114">
        <f t="shared" si="53"/>
        <v>0</v>
      </c>
      <c r="H62" s="114">
        <f t="shared" si="53"/>
        <v>0</v>
      </c>
      <c r="I62" s="114">
        <f t="shared" si="53"/>
        <v>0</v>
      </c>
      <c r="J62" s="114">
        <f t="shared" si="53"/>
        <v>0</v>
      </c>
      <c r="K62" s="114">
        <f t="shared" si="53"/>
        <v>0</v>
      </c>
      <c r="L62" s="114">
        <f t="shared" si="53"/>
        <v>0</v>
      </c>
      <c r="M62" s="114">
        <f t="shared" si="53"/>
        <v>0</v>
      </c>
      <c r="N62" s="114">
        <f t="shared" si="53"/>
        <v>0</v>
      </c>
      <c r="O62" s="114">
        <f t="shared" si="53"/>
        <v>0</v>
      </c>
      <c r="P62" s="114">
        <f t="shared" si="53"/>
        <v>0</v>
      </c>
      <c r="Q62" s="114">
        <f>IF($H$65=1,$D$9*$F$10*Q60,IF(Q49=1,0,IF(R49=1,$D$9*$F$10,0)))</f>
        <v>0</v>
      </c>
      <c r="R62" s="114">
        <f t="shared" ref="R62:U62" si="54">IF($H$65=1,$D$9*$F$10*R60,IF(R49=1,0,IF(S49=1,$D$9*$F$10,0)))</f>
        <v>0</v>
      </c>
      <c r="S62" s="114">
        <f t="shared" si="54"/>
        <v>0</v>
      </c>
      <c r="T62" s="114">
        <f t="shared" si="54"/>
        <v>0</v>
      </c>
      <c r="U62" s="114">
        <f t="shared" si="54"/>
        <v>0</v>
      </c>
    </row>
    <row r="63" spans="1:29">
      <c r="A63" s="78"/>
      <c r="B63" s="116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8"/>
      <c r="Q63" s="78"/>
    </row>
    <row r="64" spans="1:29">
      <c r="A64" s="78"/>
      <c r="B64" s="116"/>
      <c r="C64" s="73"/>
      <c r="D64" s="73"/>
      <c r="E64" s="304" t="s">
        <v>100</v>
      </c>
      <c r="F64" s="304"/>
      <c r="G64" s="304"/>
      <c r="H64" s="73">
        <f>VLOOKUP(A45,B86:E97,4)</f>
        <v>0</v>
      </c>
      <c r="I64" s="73">
        <f>IF(D11&gt;$G$114,$G$114,D11)*2+H64</f>
        <v>8</v>
      </c>
      <c r="J64" s="73"/>
      <c r="K64" s="73"/>
      <c r="L64" s="73"/>
      <c r="M64" s="73"/>
      <c r="N64" s="73"/>
      <c r="O64" s="73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73"/>
      <c r="D65" s="118">
        <f>VLOOKUP(A45,B74:D85,2)</f>
        <v>1</v>
      </c>
      <c r="E65" s="118">
        <f>VLOOKUP(A45,B74:D85,3)</f>
        <v>1</v>
      </c>
      <c r="F65" s="78"/>
      <c r="G65" s="78"/>
      <c r="H65" s="119">
        <f>VLOOKUP(A45,B86:E97,4)</f>
        <v>0</v>
      </c>
      <c r="I65" s="120">
        <f>D11*2+H65</f>
        <v>8</v>
      </c>
      <c r="J65" s="73"/>
      <c r="K65" s="73"/>
      <c r="L65" s="73"/>
      <c r="M65" s="73"/>
      <c r="N65" s="73"/>
      <c r="O65" s="73"/>
      <c r="P65" s="78"/>
      <c r="Q65" s="78"/>
    </row>
    <row r="66" spans="1:22">
      <c r="A66" s="78"/>
      <c r="B66" s="11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55">C39</f>
        <v>550000</v>
      </c>
      <c r="H74" s="130">
        <f t="shared" si="55"/>
        <v>481250</v>
      </c>
      <c r="I74" s="130">
        <f t="shared" si="55"/>
        <v>412500</v>
      </c>
      <c r="J74" s="130">
        <f t="shared" si="55"/>
        <v>343750</v>
      </c>
      <c r="K74" s="130">
        <f t="shared" si="55"/>
        <v>275000</v>
      </c>
      <c r="L74" s="130">
        <f t="shared" si="55"/>
        <v>206250</v>
      </c>
      <c r="M74" s="130">
        <f t="shared" si="55"/>
        <v>137500</v>
      </c>
      <c r="N74" s="130">
        <f t="shared" si="55"/>
        <v>68750</v>
      </c>
      <c r="O74" s="130">
        <f t="shared" si="55"/>
        <v>0</v>
      </c>
      <c r="P74" s="130">
        <f t="shared" si="55"/>
        <v>0</v>
      </c>
      <c r="Q74" s="130">
        <f t="shared" si="55"/>
        <v>0</v>
      </c>
      <c r="R74" s="130">
        <f t="shared" si="55"/>
        <v>0</v>
      </c>
      <c r="S74" s="130">
        <f t="shared" si="55"/>
        <v>0</v>
      </c>
      <c r="T74" s="130">
        <f t="shared" si="55"/>
        <v>0</v>
      </c>
      <c r="U74" s="130">
        <f t="shared" si="55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56">C41</f>
        <v>1320</v>
      </c>
      <c r="H75" s="130">
        <f t="shared" si="56"/>
        <v>1155</v>
      </c>
      <c r="I75" s="130">
        <f t="shared" si="56"/>
        <v>990</v>
      </c>
      <c r="J75" s="130">
        <f t="shared" si="56"/>
        <v>825</v>
      </c>
      <c r="K75" s="130">
        <f t="shared" si="56"/>
        <v>660</v>
      </c>
      <c r="L75" s="130">
        <f t="shared" si="56"/>
        <v>495</v>
      </c>
      <c r="M75" s="130">
        <f t="shared" si="56"/>
        <v>330</v>
      </c>
      <c r="N75" s="130">
        <f t="shared" si="56"/>
        <v>165</v>
      </c>
      <c r="O75" s="130">
        <f t="shared" si="56"/>
        <v>0</v>
      </c>
      <c r="P75" s="130">
        <f t="shared" si="56"/>
        <v>0</v>
      </c>
      <c r="Q75" s="130">
        <f t="shared" si="56"/>
        <v>0</v>
      </c>
      <c r="R75" s="130">
        <f t="shared" si="56"/>
        <v>0</v>
      </c>
      <c r="S75" s="130">
        <f t="shared" si="56"/>
        <v>0</v>
      </c>
      <c r="T75" s="130">
        <f t="shared" si="56"/>
        <v>0</v>
      </c>
      <c r="U75" s="130">
        <f t="shared" si="56"/>
        <v>0</v>
      </c>
      <c r="V75" s="130">
        <f>V41</f>
        <v>5940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2022</v>
      </c>
      <c r="C98" s="152">
        <f>MONTH(D12)</f>
        <v>4</v>
      </c>
      <c r="E98" s="14">
        <f>D11*2+VLOOKUP(MONTH(D12),B86:E97,4)</f>
        <v>8</v>
      </c>
    </row>
    <row r="99" spans="2:11">
      <c r="B99" s="14">
        <f>B98+VLOOKUP(C98,B86:D97,3)</f>
        <v>2022</v>
      </c>
      <c r="C99" s="14">
        <f>VLOOKUP(C98,B86:C97,2)</f>
        <v>9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0.1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7.0000000000000001E-3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5" t="s">
        <v>102</v>
      </c>
      <c r="D113" s="158" t="s">
        <v>127</v>
      </c>
      <c r="F113" s="25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103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57">C28</f>
        <v>44805</v>
      </c>
      <c r="D122" s="159">
        <f t="shared" si="57"/>
        <v>44986</v>
      </c>
      <c r="E122" s="159">
        <f t="shared" si="57"/>
        <v>45170</v>
      </c>
      <c r="F122" s="159">
        <f t="shared" si="57"/>
        <v>45352</v>
      </c>
      <c r="G122" s="159">
        <f t="shared" si="57"/>
        <v>45536</v>
      </c>
      <c r="H122" s="159">
        <f t="shared" si="57"/>
        <v>45717</v>
      </c>
      <c r="I122" s="159">
        <f t="shared" si="57"/>
        <v>45901</v>
      </c>
      <c r="J122" s="159">
        <f t="shared" si="57"/>
        <v>46082</v>
      </c>
      <c r="K122" s="159">
        <f t="shared" si="57"/>
        <v>46266</v>
      </c>
      <c r="L122" s="159">
        <f t="shared" si="57"/>
        <v>46447</v>
      </c>
      <c r="M122" s="159">
        <f t="shared" si="57"/>
        <v>46631</v>
      </c>
      <c r="N122" s="159">
        <f t="shared" si="57"/>
        <v>46813</v>
      </c>
      <c r="O122" s="159">
        <f t="shared" si="57"/>
        <v>46997</v>
      </c>
      <c r="P122" s="159">
        <f t="shared" si="57"/>
        <v>47178</v>
      </c>
      <c r="Q122" s="159">
        <f t="shared" si="57"/>
        <v>47362</v>
      </c>
      <c r="R122" s="159">
        <f t="shared" si="57"/>
        <v>47543</v>
      </c>
      <c r="S122" s="159">
        <f t="shared" si="57"/>
        <v>47727</v>
      </c>
      <c r="T122" s="159">
        <f t="shared" si="57"/>
        <v>47908</v>
      </c>
      <c r="U122" s="159">
        <f t="shared" si="57"/>
        <v>48092</v>
      </c>
    </row>
    <row r="123" spans="1:22">
      <c r="B123" s="163" t="s">
        <v>122</v>
      </c>
      <c r="C123" s="159">
        <f>EDATE(C122,-6)</f>
        <v>44621</v>
      </c>
      <c r="D123" s="159">
        <f t="shared" ref="D123:U123" si="58">EDATE(D122,-6)</f>
        <v>44805</v>
      </c>
      <c r="E123" s="159">
        <f t="shared" si="58"/>
        <v>44986</v>
      </c>
      <c r="F123" s="159">
        <f t="shared" si="58"/>
        <v>45170</v>
      </c>
      <c r="G123" s="159">
        <f t="shared" si="58"/>
        <v>45352</v>
      </c>
      <c r="H123" s="159">
        <f t="shared" si="58"/>
        <v>45536</v>
      </c>
      <c r="I123" s="159">
        <f t="shared" si="58"/>
        <v>45717</v>
      </c>
      <c r="J123" s="159">
        <f t="shared" si="58"/>
        <v>45901</v>
      </c>
      <c r="K123" s="159">
        <f t="shared" si="58"/>
        <v>46082</v>
      </c>
      <c r="L123" s="159">
        <f t="shared" si="58"/>
        <v>46266</v>
      </c>
      <c r="M123" s="159">
        <f t="shared" si="58"/>
        <v>46447</v>
      </c>
      <c r="N123" s="159">
        <f t="shared" si="58"/>
        <v>46631</v>
      </c>
      <c r="O123" s="159">
        <f t="shared" si="58"/>
        <v>46813</v>
      </c>
      <c r="P123" s="159">
        <f t="shared" si="58"/>
        <v>46997</v>
      </c>
      <c r="Q123" s="159">
        <f t="shared" si="58"/>
        <v>47178</v>
      </c>
      <c r="R123" s="159">
        <f t="shared" si="58"/>
        <v>47362</v>
      </c>
      <c r="S123" s="159">
        <f t="shared" si="58"/>
        <v>47543</v>
      </c>
      <c r="T123" s="159">
        <f t="shared" si="58"/>
        <v>47727</v>
      </c>
      <c r="U123" s="159">
        <f t="shared" si="58"/>
        <v>47908</v>
      </c>
    </row>
    <row r="124" spans="1:22" s="77" customFormat="1">
      <c r="A124" s="73"/>
      <c r="B124" s="177" t="s">
        <v>56</v>
      </c>
      <c r="C124" s="114">
        <f>C39</f>
        <v>550000</v>
      </c>
      <c r="D124" s="114">
        <f t="shared" ref="D124:U124" si="59">D39</f>
        <v>481250</v>
      </c>
      <c r="E124" s="114">
        <f t="shared" si="59"/>
        <v>412500</v>
      </c>
      <c r="F124" s="114">
        <f t="shared" si="59"/>
        <v>343750</v>
      </c>
      <c r="G124" s="114">
        <f t="shared" si="59"/>
        <v>275000</v>
      </c>
      <c r="H124" s="114">
        <f t="shared" si="59"/>
        <v>206250</v>
      </c>
      <c r="I124" s="114">
        <f t="shared" si="59"/>
        <v>137500</v>
      </c>
      <c r="J124" s="114">
        <f t="shared" si="59"/>
        <v>68750</v>
      </c>
      <c r="K124" s="114">
        <f t="shared" si="59"/>
        <v>0</v>
      </c>
      <c r="L124" s="114">
        <f t="shared" si="59"/>
        <v>0</v>
      </c>
      <c r="M124" s="114">
        <f t="shared" si="59"/>
        <v>0</v>
      </c>
      <c r="N124" s="114">
        <f t="shared" si="59"/>
        <v>0</v>
      </c>
      <c r="O124" s="114">
        <f t="shared" si="59"/>
        <v>0</v>
      </c>
      <c r="P124" s="114">
        <f t="shared" si="59"/>
        <v>0</v>
      </c>
      <c r="Q124" s="114">
        <f t="shared" si="59"/>
        <v>0</v>
      </c>
      <c r="R124" s="114">
        <f t="shared" si="59"/>
        <v>0</v>
      </c>
      <c r="S124" s="114">
        <f t="shared" si="59"/>
        <v>0</v>
      </c>
      <c r="T124" s="114">
        <f t="shared" si="59"/>
        <v>0</v>
      </c>
      <c r="U124" s="114">
        <f t="shared" si="59"/>
        <v>0</v>
      </c>
      <c r="V124" s="14"/>
    </row>
    <row r="125" spans="1:22">
      <c r="D125" s="72"/>
    </row>
  </sheetData>
  <sheetProtection formatCells="0"/>
  <mergeCells count="47">
    <mergeCell ref="G109:H109"/>
    <mergeCell ref="G105:H105"/>
    <mergeCell ref="G106:H106"/>
    <mergeCell ref="G107:H107"/>
    <mergeCell ref="G108:H108"/>
    <mergeCell ref="B27:B29"/>
    <mergeCell ref="V27:V29"/>
    <mergeCell ref="V39:V40"/>
    <mergeCell ref="R44:U44"/>
    <mergeCell ref="E64:G64"/>
    <mergeCell ref="F16:M16"/>
    <mergeCell ref="N16:O17"/>
    <mergeCell ref="G17:H17"/>
    <mergeCell ref="I17:M17"/>
    <mergeCell ref="I24:M24"/>
    <mergeCell ref="G18:H18"/>
    <mergeCell ref="I18:M18"/>
    <mergeCell ref="G19:H19"/>
    <mergeCell ref="I19:M19"/>
    <mergeCell ref="G20:H20"/>
    <mergeCell ref="I20:M20"/>
    <mergeCell ref="G21:G22"/>
    <mergeCell ref="I21:M21"/>
    <mergeCell ref="I22:M22"/>
    <mergeCell ref="G23:H24"/>
    <mergeCell ref="I23:M23"/>
    <mergeCell ref="G12:H12"/>
    <mergeCell ref="I12:M12"/>
    <mergeCell ref="A13:C13"/>
    <mergeCell ref="D13:E13"/>
    <mergeCell ref="F15:O15"/>
    <mergeCell ref="B11:C11"/>
    <mergeCell ref="D11:E11"/>
    <mergeCell ref="A10:C10"/>
    <mergeCell ref="B12:C12"/>
    <mergeCell ref="D12:E12"/>
    <mergeCell ref="D10:E10"/>
    <mergeCell ref="B8:C8"/>
    <mergeCell ref="D8:E8"/>
    <mergeCell ref="B9:C9"/>
    <mergeCell ref="D9:E9"/>
    <mergeCell ref="A1:R1"/>
    <mergeCell ref="K2:Q2"/>
    <mergeCell ref="A4:N4"/>
    <mergeCell ref="A5:N5"/>
    <mergeCell ref="B7:C7"/>
    <mergeCell ref="D7:E7"/>
  </mergeCells>
  <phoneticPr fontId="17"/>
  <conditionalFormatting sqref="H26:U26">
    <cfRule type="expression" dxfId="125" priority="14" stopIfTrue="1">
      <formula>$N$49=$E$99</formula>
    </cfRule>
    <cfRule type="cellIs" dxfId="124" priority="15" stopIfTrue="1" operator="equal">
      <formula>$E$99=$N$49</formula>
    </cfRule>
    <cfRule type="cellIs" dxfId="123" priority="16" stopIfTrue="1" operator="equal">
      <formula>$N$49=$E$99</formula>
    </cfRule>
  </conditionalFormatting>
  <conditionalFormatting sqref="P26">
    <cfRule type="expression" dxfId="122" priority="13" stopIfTrue="1">
      <formula>$P$49=$E$99</formula>
    </cfRule>
  </conditionalFormatting>
  <conditionalFormatting sqref="Q26">
    <cfRule type="expression" dxfId="121" priority="12" stopIfTrue="1">
      <formula>$Q$49=$E$99</formula>
    </cfRule>
  </conditionalFormatting>
  <conditionalFormatting sqref="R26">
    <cfRule type="expression" dxfId="120" priority="10" stopIfTrue="1">
      <formula>$R$49=$E$99</formula>
    </cfRule>
    <cfRule type="cellIs" dxfId="119" priority="11" stopIfTrue="1" operator="equal">
      <formula>$R$49=$E$99</formula>
    </cfRule>
  </conditionalFormatting>
  <conditionalFormatting sqref="S26">
    <cfRule type="expression" dxfId="118" priority="9" stopIfTrue="1">
      <formula>$S$49=$E$99</formula>
    </cfRule>
  </conditionalFormatting>
  <conditionalFormatting sqref="T26">
    <cfRule type="expression" dxfId="117" priority="8" stopIfTrue="1">
      <formula>$T$49=$E$99</formula>
    </cfRule>
  </conditionalFormatting>
  <conditionalFormatting sqref="U26">
    <cfRule type="expression" dxfId="116" priority="7" stopIfTrue="1">
      <formula>$U$49=$E$99</formula>
    </cfRule>
  </conditionalFormatting>
  <conditionalFormatting sqref="M26">
    <cfRule type="expression" dxfId="115" priority="6" stopIfTrue="1">
      <formula>$M$49=$E$99</formula>
    </cfRule>
  </conditionalFormatting>
  <conditionalFormatting sqref="L26">
    <cfRule type="expression" dxfId="114" priority="5" stopIfTrue="1">
      <formula>$L$49=$E$99</formula>
    </cfRule>
  </conditionalFormatting>
  <conditionalFormatting sqref="H26:U26">
    <cfRule type="expression" dxfId="113" priority="4" stopIfTrue="1">
      <formula>$H$49=$E$99</formula>
    </cfRule>
  </conditionalFormatting>
  <conditionalFormatting sqref="I26">
    <cfRule type="expression" dxfId="112" priority="3" stopIfTrue="1">
      <formula>$I$49=$E$99</formula>
    </cfRule>
  </conditionalFormatting>
  <conditionalFormatting sqref="J26">
    <cfRule type="expression" dxfId="111" priority="2" stopIfTrue="1">
      <formula>$J$49=$E$99</formula>
    </cfRule>
  </conditionalFormatting>
  <conditionalFormatting sqref="K26">
    <cfRule type="expression" dxfId="110" priority="1" stopIfTrue="1">
      <formula>$K$49=$E$99</formula>
    </cfRule>
  </conditionalFormatting>
  <conditionalFormatting sqref="O26:U26">
    <cfRule type="expression" dxfId="109" priority="94" stopIfTrue="1">
      <formula>$O$49=$E$99</formula>
    </cfRule>
    <cfRule type="expression" dxfId="108" priority="95" stopIfTrue="1">
      <formula>$O$4=$E$99</formula>
    </cfRule>
  </conditionalFormatting>
  <dataValidations disablePrompts="1" count="2">
    <dataValidation type="whole" errorStyle="warning" operator="greaterThanOrEqual" allowBlank="1" showInputMessage="1" showErrorMessage="1" error="入力し直し" sqref="E7 D7:D10" xr:uid="{00000000-0002-0000-0200-000001000000}">
      <formula1>100000</formula1>
    </dataValidation>
    <dataValidation type="whole" allowBlank="1" showInputMessage="1" showErrorMessage="1" sqref="D13:E13" xr:uid="{00000000-0002-0000-0200-000002000000}">
      <formula1>1</formula1>
      <formula2>7</formula2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B324-5CCD-44FC-B837-6B5958B88F78}">
  <sheetPr>
    <pageSetUpPr fitToPage="1"/>
  </sheetPr>
  <dimension ref="A1:AH125"/>
  <sheetViews>
    <sheetView showZeros="0" view="pageBreakPreview" topLeftCell="A104" zoomScale="80" zoomScaleNormal="100" zoomScaleSheetLayoutView="80" workbookViewId="0">
      <selection activeCell="C124" sqref="C124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'信用保険料計算書（上限2000万）'!G9</f>
        <v>20000000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'信用保険料計算書（上限2000万）'!G10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20000000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'信用保険料計算書（上限2000万）'!G11</f>
        <v>0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'信用保険料計算書（上限2000万）'!G14</f>
        <v>7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'信用保険料計算書（上限2000万）'!G15</f>
        <v>44743</v>
      </c>
      <c r="E12" s="283"/>
      <c r="F12" s="12" t="s">
        <v>29</v>
      </c>
      <c r="G12" s="286">
        <f>IF(D12="","",EDATE(D12,D11*12)-1)</f>
        <v>47299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18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18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19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>支払終了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31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32</v>
      </c>
    </row>
    <row r="28" spans="2:22" s="17" customFormat="1" ht="14.4" customHeight="1">
      <c r="B28" s="299"/>
      <c r="C28" s="45">
        <f>DATE(B99,C99,1)</f>
        <v>44805</v>
      </c>
      <c r="D28" s="46">
        <f>EDATE(C28,6)</f>
        <v>44986</v>
      </c>
      <c r="E28" s="46">
        <f>EDATE(D28,6)</f>
        <v>45170</v>
      </c>
      <c r="F28" s="46">
        <f>EDATE(E28,6)</f>
        <v>45352</v>
      </c>
      <c r="G28" s="46">
        <f>EDATE(F28,6)</f>
        <v>45536</v>
      </c>
      <c r="H28" s="46">
        <f t="shared" ref="H28:U28" si="1">EDATE(G28,6)</f>
        <v>45717</v>
      </c>
      <c r="I28" s="46">
        <f t="shared" si="1"/>
        <v>45901</v>
      </c>
      <c r="J28" s="46">
        <f t="shared" si="1"/>
        <v>46082</v>
      </c>
      <c r="K28" s="46">
        <f t="shared" si="1"/>
        <v>46266</v>
      </c>
      <c r="L28" s="46">
        <f t="shared" si="1"/>
        <v>46447</v>
      </c>
      <c r="M28" s="46">
        <f t="shared" si="1"/>
        <v>46631</v>
      </c>
      <c r="N28" s="46">
        <f t="shared" si="1"/>
        <v>46813</v>
      </c>
      <c r="O28" s="46">
        <f t="shared" si="1"/>
        <v>46997</v>
      </c>
      <c r="P28" s="46">
        <f t="shared" si="1"/>
        <v>47178</v>
      </c>
      <c r="Q28" s="46">
        <f t="shared" si="1"/>
        <v>47362</v>
      </c>
      <c r="R28" s="46">
        <f t="shared" si="1"/>
        <v>47543</v>
      </c>
      <c r="S28" s="46">
        <f t="shared" si="1"/>
        <v>47727</v>
      </c>
      <c r="T28" s="46">
        <f t="shared" si="1"/>
        <v>47908</v>
      </c>
      <c r="U28" s="47">
        <f t="shared" si="1"/>
        <v>48092</v>
      </c>
      <c r="V28" s="299"/>
    </row>
    <row r="29" spans="2:22" s="17" customFormat="1" ht="14.4" customHeight="1">
      <c r="B29" s="300"/>
      <c r="C29" s="9" t="s">
        <v>30</v>
      </c>
      <c r="D29" s="10" t="s">
        <v>30</v>
      </c>
      <c r="E29" s="10" t="s">
        <v>30</v>
      </c>
      <c r="F29" s="10" t="s">
        <v>30</v>
      </c>
      <c r="G29" s="10" t="s">
        <v>30</v>
      </c>
      <c r="H29" s="10" t="s">
        <v>30</v>
      </c>
      <c r="I29" s="10" t="s">
        <v>30</v>
      </c>
      <c r="J29" s="10" t="s">
        <v>30</v>
      </c>
      <c r="K29" s="10" t="s">
        <v>30</v>
      </c>
      <c r="L29" s="10" t="s">
        <v>30</v>
      </c>
      <c r="M29" s="10" t="s">
        <v>30</v>
      </c>
      <c r="N29" s="10" t="s">
        <v>30</v>
      </c>
      <c r="O29" s="10" t="s">
        <v>30</v>
      </c>
      <c r="P29" s="10" t="s">
        <v>30</v>
      </c>
      <c r="Q29" s="10" t="s">
        <v>30</v>
      </c>
      <c r="R29" s="10" t="s">
        <v>30</v>
      </c>
      <c r="S29" s="10" t="s">
        <v>30</v>
      </c>
      <c r="T29" s="10" t="s">
        <v>30</v>
      </c>
      <c r="U29" s="11" t="s">
        <v>30</v>
      </c>
      <c r="V29" s="300"/>
    </row>
    <row r="30" spans="2:22" ht="22.2" customHeight="1">
      <c r="B30" s="48" t="s">
        <v>33</v>
      </c>
      <c r="C30" s="49">
        <f t="shared" ref="C30:H30" si="2">C51</f>
        <v>714292</v>
      </c>
      <c r="D30" s="50">
        <f t="shared" si="2"/>
        <v>1428571</v>
      </c>
      <c r="E30" s="50">
        <f t="shared" si="2"/>
        <v>1428571</v>
      </c>
      <c r="F30" s="50">
        <f t="shared" si="2"/>
        <v>1428571</v>
      </c>
      <c r="G30" s="50">
        <f t="shared" si="2"/>
        <v>1428571</v>
      </c>
      <c r="H30" s="50">
        <f t="shared" si="2"/>
        <v>1428571</v>
      </c>
      <c r="I30" s="50">
        <f t="shared" ref="I30:U31" si="3">I51+I54</f>
        <v>1428571</v>
      </c>
      <c r="J30" s="50">
        <f t="shared" si="3"/>
        <v>1428571</v>
      </c>
      <c r="K30" s="50">
        <f t="shared" si="3"/>
        <v>1428571</v>
      </c>
      <c r="L30" s="50">
        <f t="shared" si="3"/>
        <v>1428571</v>
      </c>
      <c r="M30" s="50">
        <f t="shared" si="3"/>
        <v>1428571</v>
      </c>
      <c r="N30" s="50">
        <f t="shared" si="3"/>
        <v>1428571</v>
      </c>
      <c r="O30" s="50">
        <f t="shared" si="3"/>
        <v>1428571</v>
      </c>
      <c r="P30" s="50">
        <f t="shared" si="3"/>
        <v>1428571</v>
      </c>
      <c r="Q30" s="50">
        <f t="shared" si="3"/>
        <v>714285</v>
      </c>
      <c r="R30" s="50">
        <f t="shared" si="3"/>
        <v>0</v>
      </c>
      <c r="S30" s="50">
        <f t="shared" si="3"/>
        <v>0</v>
      </c>
      <c r="T30" s="50">
        <f t="shared" si="3"/>
        <v>0</v>
      </c>
      <c r="U30" s="51">
        <f t="shared" si="3"/>
        <v>0</v>
      </c>
      <c r="V30" s="52">
        <f t="shared" ref="V30:V35" si="4">SUM(C30:U30)</f>
        <v>20000000</v>
      </c>
    </row>
    <row r="31" spans="2:22" ht="22.2" customHeight="1">
      <c r="B31" s="53" t="s">
        <v>41</v>
      </c>
      <c r="C31" s="54">
        <f t="shared" ref="C31:I31" si="5">C52+C55</f>
        <v>71431</v>
      </c>
      <c r="D31" s="54">
        <f t="shared" si="5"/>
        <v>142857</v>
      </c>
      <c r="E31" s="54">
        <f t="shared" si="5"/>
        <v>142857</v>
      </c>
      <c r="F31" s="54">
        <f t="shared" si="5"/>
        <v>142857</v>
      </c>
      <c r="G31" s="54">
        <f t="shared" si="5"/>
        <v>142857</v>
      </c>
      <c r="H31" s="54">
        <f t="shared" si="5"/>
        <v>142857</v>
      </c>
      <c r="I31" s="54">
        <f t="shared" si="5"/>
        <v>142857</v>
      </c>
      <c r="J31" s="54">
        <f>J52+J55</f>
        <v>142857</v>
      </c>
      <c r="K31" s="54">
        <f>K52+K55</f>
        <v>142857</v>
      </c>
      <c r="L31" s="54">
        <f t="shared" si="3"/>
        <v>142857</v>
      </c>
      <c r="M31" s="54">
        <f t="shared" si="3"/>
        <v>142857</v>
      </c>
      <c r="N31" s="54">
        <f t="shared" si="3"/>
        <v>142857</v>
      </c>
      <c r="O31" s="54">
        <f t="shared" si="3"/>
        <v>142857</v>
      </c>
      <c r="P31" s="54">
        <f t="shared" si="3"/>
        <v>142857</v>
      </c>
      <c r="Q31" s="54">
        <f t="shared" si="3"/>
        <v>71428</v>
      </c>
      <c r="R31" s="54">
        <f t="shared" si="3"/>
        <v>0</v>
      </c>
      <c r="S31" s="54">
        <f t="shared" si="3"/>
        <v>0</v>
      </c>
      <c r="T31" s="54">
        <f t="shared" si="3"/>
        <v>0</v>
      </c>
      <c r="U31" s="55">
        <f t="shared" si="3"/>
        <v>0</v>
      </c>
      <c r="V31" s="56">
        <f t="shared" si="4"/>
        <v>2000000</v>
      </c>
    </row>
    <row r="32" spans="2:22" ht="22.2" customHeight="1">
      <c r="B32" s="48" t="s">
        <v>26</v>
      </c>
      <c r="C32" s="49"/>
      <c r="D32" s="50">
        <f t="shared" ref="D32:N32" si="6">D62</f>
        <v>0</v>
      </c>
      <c r="E32" s="50">
        <f t="shared" si="6"/>
        <v>0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>O62</f>
        <v>0</v>
      </c>
      <c r="P32" s="50">
        <f t="shared" ref="P32:U32" si="7">P62</f>
        <v>0</v>
      </c>
      <c r="Q32" s="50">
        <f t="shared" si="7"/>
        <v>0</v>
      </c>
      <c r="R32" s="50">
        <f t="shared" si="7"/>
        <v>0</v>
      </c>
      <c r="S32" s="50">
        <f t="shared" si="7"/>
        <v>0</v>
      </c>
      <c r="T32" s="50">
        <f t="shared" si="7"/>
        <v>0</v>
      </c>
      <c r="U32" s="51">
        <f t="shared" si="7"/>
        <v>0</v>
      </c>
      <c r="V32" s="52">
        <f t="shared" si="4"/>
        <v>0</v>
      </c>
    </row>
    <row r="33" spans="1:34" ht="22.2" customHeight="1">
      <c r="B33" s="53" t="s">
        <v>42</v>
      </c>
      <c r="C33" s="57"/>
      <c r="D33" s="54"/>
      <c r="E33" s="54"/>
      <c r="F33" s="54">
        <f t="shared" ref="F33:N33" si="8">F32*$E$106</f>
        <v>0</v>
      </c>
      <c r="G33" s="54">
        <f t="shared" si="8"/>
        <v>0</v>
      </c>
      <c r="H33" s="54">
        <f t="shared" si="8"/>
        <v>0</v>
      </c>
      <c r="I33" s="54">
        <f t="shared" si="8"/>
        <v>0</v>
      </c>
      <c r="J33" s="54">
        <f t="shared" si="8"/>
        <v>0</v>
      </c>
      <c r="K33" s="54">
        <f t="shared" si="8"/>
        <v>0</v>
      </c>
      <c r="L33" s="54">
        <f t="shared" si="8"/>
        <v>0</v>
      </c>
      <c r="M33" s="54">
        <f t="shared" si="8"/>
        <v>0</v>
      </c>
      <c r="N33" s="54">
        <f t="shared" si="8"/>
        <v>0</v>
      </c>
      <c r="O33" s="54">
        <f>INT(O32*$E$106)</f>
        <v>0</v>
      </c>
      <c r="P33" s="54">
        <f t="shared" ref="P33:U33" si="9">P32*$E$106</f>
        <v>0</v>
      </c>
      <c r="Q33" s="54">
        <f t="shared" si="9"/>
        <v>0</v>
      </c>
      <c r="R33" s="54">
        <f t="shared" si="9"/>
        <v>0</v>
      </c>
      <c r="S33" s="54">
        <f t="shared" si="9"/>
        <v>0</v>
      </c>
      <c r="T33" s="54">
        <f t="shared" si="9"/>
        <v>0</v>
      </c>
      <c r="U33" s="55">
        <f t="shared" si="9"/>
        <v>0</v>
      </c>
      <c r="V33" s="56">
        <f t="shared" si="4"/>
        <v>0</v>
      </c>
    </row>
    <row r="34" spans="1:34" ht="36" customHeight="1">
      <c r="B34" s="58" t="s">
        <v>52</v>
      </c>
      <c r="C34" s="59">
        <f t="shared" ref="C34:U34" si="10">IF($D$13=6,0,IF($D$13=7,0,(C53+C56)))</f>
        <v>35000</v>
      </c>
      <c r="D34" s="60">
        <f t="shared" si="10"/>
        <v>67499</v>
      </c>
      <c r="E34" s="60">
        <f t="shared" si="10"/>
        <v>62499</v>
      </c>
      <c r="F34" s="60">
        <f t="shared" si="10"/>
        <v>57499</v>
      </c>
      <c r="G34" s="60">
        <f t="shared" si="10"/>
        <v>52499</v>
      </c>
      <c r="H34" s="60">
        <f t="shared" si="10"/>
        <v>47499</v>
      </c>
      <c r="I34" s="60">
        <f t="shared" si="10"/>
        <v>42499</v>
      </c>
      <c r="J34" s="60">
        <f t="shared" si="10"/>
        <v>37499</v>
      </c>
      <c r="K34" s="60">
        <f t="shared" si="10"/>
        <v>32499</v>
      </c>
      <c r="L34" s="60">
        <f t="shared" si="10"/>
        <v>27499</v>
      </c>
      <c r="M34" s="60">
        <f t="shared" si="10"/>
        <v>22499</v>
      </c>
      <c r="N34" s="60">
        <f t="shared" si="10"/>
        <v>17499</v>
      </c>
      <c r="O34" s="60">
        <f t="shared" si="10"/>
        <v>12499</v>
      </c>
      <c r="P34" s="60">
        <f t="shared" si="10"/>
        <v>7499</v>
      </c>
      <c r="Q34" s="60">
        <f t="shared" si="10"/>
        <v>1249</v>
      </c>
      <c r="R34" s="60">
        <f t="shared" si="10"/>
        <v>0</v>
      </c>
      <c r="S34" s="60">
        <f t="shared" si="10"/>
        <v>0</v>
      </c>
      <c r="T34" s="60">
        <f t="shared" si="10"/>
        <v>0</v>
      </c>
      <c r="U34" s="61">
        <f t="shared" si="10"/>
        <v>0</v>
      </c>
      <c r="V34" s="62">
        <f t="shared" si="4"/>
        <v>523736</v>
      </c>
    </row>
    <row r="35" spans="1:34" ht="22.2" customHeight="1">
      <c r="B35" s="63" t="s">
        <v>44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4"/>
        <v>0</v>
      </c>
    </row>
    <row r="36" spans="1:34" ht="25.2" customHeight="1">
      <c r="B36" s="65" t="s">
        <v>96</v>
      </c>
      <c r="C36" s="66">
        <f t="shared" ref="C36:V36" si="11">SUM(C30:C35)</f>
        <v>820723</v>
      </c>
      <c r="D36" s="67">
        <f t="shared" si="11"/>
        <v>1638927</v>
      </c>
      <c r="E36" s="67">
        <f t="shared" si="11"/>
        <v>1633927</v>
      </c>
      <c r="F36" s="67">
        <f t="shared" si="11"/>
        <v>1628927</v>
      </c>
      <c r="G36" s="67">
        <f t="shared" si="11"/>
        <v>1623927</v>
      </c>
      <c r="H36" s="67">
        <f t="shared" si="11"/>
        <v>1618927</v>
      </c>
      <c r="I36" s="67">
        <f t="shared" si="11"/>
        <v>1613927</v>
      </c>
      <c r="J36" s="67">
        <f t="shared" si="11"/>
        <v>1608927</v>
      </c>
      <c r="K36" s="67">
        <f t="shared" si="11"/>
        <v>1603927</v>
      </c>
      <c r="L36" s="67">
        <f t="shared" si="11"/>
        <v>1598927</v>
      </c>
      <c r="M36" s="67">
        <f t="shared" si="11"/>
        <v>1593927</v>
      </c>
      <c r="N36" s="67">
        <f t="shared" si="11"/>
        <v>1588927</v>
      </c>
      <c r="O36" s="67">
        <f t="shared" si="11"/>
        <v>1583927</v>
      </c>
      <c r="P36" s="67">
        <f t="shared" si="11"/>
        <v>1578927</v>
      </c>
      <c r="Q36" s="67">
        <f t="shared" si="11"/>
        <v>786962</v>
      </c>
      <c r="R36" s="67">
        <f t="shared" si="11"/>
        <v>0</v>
      </c>
      <c r="S36" s="67">
        <f t="shared" si="11"/>
        <v>0</v>
      </c>
      <c r="T36" s="67">
        <f t="shared" si="11"/>
        <v>0</v>
      </c>
      <c r="U36" s="68">
        <f t="shared" si="11"/>
        <v>0</v>
      </c>
      <c r="V36" s="62">
        <f t="shared" si="11"/>
        <v>22523736</v>
      </c>
    </row>
    <row r="37" spans="1:34" ht="18.600000000000001" customHeight="1"/>
    <row r="38" spans="1:34" ht="17.399999999999999" customHeight="1">
      <c r="B38" s="69" t="s">
        <v>51</v>
      </c>
      <c r="E38" s="70"/>
      <c r="I38" s="71" t="s">
        <v>48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1"/>
      <c r="B39" s="74" t="s">
        <v>182</v>
      </c>
      <c r="C39" s="75">
        <f>IF(DATEVALUE("2018/3/31")&lt;$D$12,INT(D9*(1+$E$106)),D9)</f>
        <v>22000000</v>
      </c>
      <c r="D39" s="76">
        <f>IF(AND(D48=0,D59=0),(C39-(C30+C31)),IF(AND(D48=1,D59=1),(C39-(C30+C31)),0))</f>
        <v>21214277</v>
      </c>
      <c r="E39" s="76">
        <f>IF(AND(E48=0,E59=0),(D39-(D30+D31)),IF(AND(E48=1,E59=1),(D39-(D30+D31)),0))</f>
        <v>19642849</v>
      </c>
      <c r="F39" s="76">
        <f>IF(AND(F48=0,F59=0),(E39-(E30+E31)),IF(AND(F48=1,F59=1),(E39-(E30+E31)),0))</f>
        <v>18071421</v>
      </c>
      <c r="G39" s="76">
        <f>IF(AND(G48=0,G59=0),(F39-(F30+F31)),IF(AND(G48=1,G59=1),(F39-(F30+F31)),0))</f>
        <v>16499993</v>
      </c>
      <c r="H39" s="76">
        <f t="shared" ref="H39:K39" si="12">IF(AND(H48=0,H59=0),(G39-(G30+G31)),IF(AND(H48=1,H59=1),(G39-(G30+G31)),0))</f>
        <v>14928565</v>
      </c>
      <c r="I39" s="76">
        <f t="shared" si="12"/>
        <v>13357137</v>
      </c>
      <c r="J39" s="76">
        <f t="shared" si="12"/>
        <v>11785709</v>
      </c>
      <c r="K39" s="76">
        <f t="shared" si="12"/>
        <v>10214281</v>
      </c>
      <c r="L39" s="76">
        <f>IF(AND(L48=0,L59=0),(K39-(K30+K31)),IF(AND(L48=1,L59=1),(K39-(K30+K31)),0))</f>
        <v>8642853</v>
      </c>
      <c r="M39" s="76">
        <f>IF(AND(M48=0,M59=0),(L39-(L30+L31)),IF(AND(M48=1,M59=1),(L39-(L30+L31)),0))</f>
        <v>7071425</v>
      </c>
      <c r="N39" s="76">
        <f t="shared" ref="N39:Q39" si="13">IF(AND(N48=0,N59=0),(M39-(M30+M31)),IF(AND(N48=1,N59=1),(M39-(M30+M31)),0))</f>
        <v>5499997</v>
      </c>
      <c r="O39" s="76">
        <f t="shared" si="13"/>
        <v>3928569</v>
      </c>
      <c r="P39" s="76">
        <f t="shared" si="13"/>
        <v>2357141</v>
      </c>
      <c r="Q39" s="76">
        <f t="shared" si="13"/>
        <v>785713</v>
      </c>
      <c r="R39" s="76">
        <f>IF(AND(R48=0,R59=0),(Q39-(Q30+Q31)),IF(AND(R48=1,R59=1),(Q39-(Q30+Q31)),0))</f>
        <v>0</v>
      </c>
      <c r="S39" s="76">
        <f>IF(AND(S48=0,S59=0),(R39-(R30+R31)),IF(AND(S48=1,S59=1),(R39-(R30+R31)),0))</f>
        <v>0</v>
      </c>
      <c r="T39" s="76">
        <f>IF(AND(T48=0,T59=0),(S39-(S30+S31)),IF(AND(T48=1,T59=1),(S39-(S30+S31)),0))</f>
        <v>0</v>
      </c>
      <c r="U39" s="76">
        <f t="shared" ref="U39" si="14">IF(AND(U48=0,U59=0),(T39-(T30+T31)),IF(AND(U48=1,U59=1),(T39-(T30+T31)),0))</f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5">IF(C39&gt;$F$114,$F$114,C39)</f>
        <v>20000000</v>
      </c>
      <c r="D40" s="81">
        <f t="shared" si="15"/>
        <v>20000000</v>
      </c>
      <c r="E40" s="81">
        <f t="shared" si="15"/>
        <v>19642849</v>
      </c>
      <c r="F40" s="81">
        <f t="shared" si="15"/>
        <v>18071421</v>
      </c>
      <c r="G40" s="81">
        <f t="shared" si="15"/>
        <v>16499993</v>
      </c>
      <c r="H40" s="81">
        <f t="shared" si="15"/>
        <v>14928565</v>
      </c>
      <c r="I40" s="81">
        <f t="shared" si="15"/>
        <v>13357137</v>
      </c>
      <c r="J40" s="81">
        <f t="shared" si="15"/>
        <v>11785709</v>
      </c>
      <c r="K40" s="81">
        <f t="shared" si="15"/>
        <v>10214281</v>
      </c>
      <c r="L40" s="81">
        <f t="shared" si="15"/>
        <v>8642853</v>
      </c>
      <c r="M40" s="81">
        <f t="shared" si="15"/>
        <v>7071425</v>
      </c>
      <c r="N40" s="81">
        <f t="shared" si="15"/>
        <v>5499997</v>
      </c>
      <c r="O40" s="81">
        <f t="shared" si="15"/>
        <v>3928569</v>
      </c>
      <c r="P40" s="81">
        <f t="shared" si="15"/>
        <v>2357141</v>
      </c>
      <c r="Q40" s="81">
        <f t="shared" si="15"/>
        <v>785713</v>
      </c>
      <c r="R40" s="82">
        <f t="shared" si="15"/>
        <v>0</v>
      </c>
      <c r="S40" s="83">
        <f t="shared" si="15"/>
        <v>0</v>
      </c>
      <c r="T40" s="83">
        <f t="shared" si="15"/>
        <v>0</v>
      </c>
      <c r="U40" s="84">
        <f t="shared" si="15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24000</v>
      </c>
      <c r="D41" s="87">
        <f>IF(AND(D48=0,D59=0),INT(ROUNDDOWN(D40*0.0048/12,2)*6),IF(AND(D48=1,D59=1),INT(ROUNDDOWN((ROUNDDOWN(D40*0.0048/12,2))*6,0)*$E$65),0))</f>
        <v>48000</v>
      </c>
      <c r="E41" s="87">
        <f t="shared" ref="E41:U41" si="16">IF(AND(E48=0,E59=0),INT(ROUNDDOWN(E40*0.0048/12,2)*6),IF(AND(E48=1,E59=1),INT(ROUNDDOWN((ROUNDDOWN(E40*0.0048/12,2))*6,0)*$E$65),0))</f>
        <v>47142</v>
      </c>
      <c r="F41" s="87">
        <f t="shared" si="16"/>
        <v>43371</v>
      </c>
      <c r="G41" s="87">
        <f t="shared" si="16"/>
        <v>39599</v>
      </c>
      <c r="H41" s="87">
        <f t="shared" si="16"/>
        <v>35828</v>
      </c>
      <c r="I41" s="87">
        <f t="shared" si="16"/>
        <v>32057</v>
      </c>
      <c r="J41" s="87">
        <f t="shared" si="16"/>
        <v>28285</v>
      </c>
      <c r="K41" s="87">
        <f t="shared" si="16"/>
        <v>24514</v>
      </c>
      <c r="L41" s="87">
        <f t="shared" si="16"/>
        <v>20742</v>
      </c>
      <c r="M41" s="87">
        <f t="shared" si="16"/>
        <v>16971</v>
      </c>
      <c r="N41" s="87">
        <f t="shared" si="16"/>
        <v>13199</v>
      </c>
      <c r="O41" s="87">
        <f t="shared" si="16"/>
        <v>9428</v>
      </c>
      <c r="P41" s="87">
        <f t="shared" si="16"/>
        <v>5657</v>
      </c>
      <c r="Q41" s="87">
        <f t="shared" si="16"/>
        <v>942</v>
      </c>
      <c r="R41" s="88">
        <f t="shared" si="16"/>
        <v>0</v>
      </c>
      <c r="S41" s="89">
        <f t="shared" si="16"/>
        <v>0</v>
      </c>
      <c r="T41" s="89">
        <f t="shared" si="16"/>
        <v>0</v>
      </c>
      <c r="U41" s="90">
        <f t="shared" si="16"/>
        <v>0</v>
      </c>
      <c r="V41" s="91">
        <f>SUM(C41:U41)</f>
        <v>389735</v>
      </c>
    </row>
    <row r="42" spans="1:34" ht="24">
      <c r="A42" s="78"/>
      <c r="B42" s="92" t="s">
        <v>186</v>
      </c>
      <c r="C42" s="93">
        <f>IF(C39*0.95&gt;$F$114,$F$114,C39*0.95)</f>
        <v>20000000</v>
      </c>
      <c r="D42" s="94">
        <f>IF(D39*0.95&gt;$F$114,$F$114,D39*0.95)</f>
        <v>20000000</v>
      </c>
      <c r="E42" s="94">
        <f t="shared" ref="E42:U42" si="17">IF(E39*0.95&gt;$F$114,$F$114,E39*0.95)</f>
        <v>18660706.550000001</v>
      </c>
      <c r="F42" s="94">
        <f t="shared" si="17"/>
        <v>17167849.949999999</v>
      </c>
      <c r="G42" s="94">
        <f t="shared" si="17"/>
        <v>15674993.35</v>
      </c>
      <c r="H42" s="94">
        <f t="shared" si="17"/>
        <v>14182136.75</v>
      </c>
      <c r="I42" s="94">
        <f t="shared" si="17"/>
        <v>12689280.149999999</v>
      </c>
      <c r="J42" s="94">
        <f t="shared" si="17"/>
        <v>11196423.549999999</v>
      </c>
      <c r="K42" s="94">
        <f t="shared" si="17"/>
        <v>9703566.9499999993</v>
      </c>
      <c r="L42" s="94">
        <f t="shared" si="17"/>
        <v>8210710.3499999996</v>
      </c>
      <c r="M42" s="94">
        <f t="shared" si="17"/>
        <v>6717853.75</v>
      </c>
      <c r="N42" s="94">
        <f t="shared" si="17"/>
        <v>5224997.1499999994</v>
      </c>
      <c r="O42" s="94">
        <f t="shared" si="17"/>
        <v>3732140.55</v>
      </c>
      <c r="P42" s="94">
        <f t="shared" si="17"/>
        <v>2239283.9499999997</v>
      </c>
      <c r="Q42" s="94">
        <f t="shared" si="17"/>
        <v>746427.35</v>
      </c>
      <c r="R42" s="95">
        <f t="shared" si="17"/>
        <v>0</v>
      </c>
      <c r="S42" s="96">
        <f t="shared" si="17"/>
        <v>0</v>
      </c>
      <c r="T42" s="96">
        <f t="shared" si="17"/>
        <v>0</v>
      </c>
      <c r="U42" s="97">
        <f t="shared" si="17"/>
        <v>0</v>
      </c>
      <c r="V42" s="62"/>
    </row>
    <row r="43" spans="1:34" ht="13.8" thickBot="1"/>
    <row r="44" spans="1:34" ht="16.8" thickBot="1">
      <c r="A44" s="98"/>
      <c r="B44" s="99" t="s">
        <v>47</v>
      </c>
      <c r="C44" s="100">
        <f>K106</f>
        <v>7.0000000000000001E-3</v>
      </c>
      <c r="R44" s="303" t="s">
        <v>62</v>
      </c>
      <c r="S44" s="303"/>
      <c r="T44" s="303"/>
      <c r="U44" s="303"/>
      <c r="V44" s="101">
        <f>V30+V32</f>
        <v>20000000</v>
      </c>
      <c r="W44" s="102" t="str">
        <f>IF(V44=D9,"OK","エラー")</f>
        <v>OK</v>
      </c>
    </row>
    <row r="45" spans="1:34" ht="13.8" thickBot="1">
      <c r="A45" s="103">
        <f>MONTH(D12)</f>
        <v>7</v>
      </c>
      <c r="B45" s="14" t="s">
        <v>0</v>
      </c>
    </row>
    <row r="46" spans="1:34">
      <c r="A46" s="232"/>
    </row>
    <row r="47" spans="1:34">
      <c r="B47" s="14" t="s">
        <v>27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69</v>
      </c>
      <c r="C48" s="104">
        <f t="shared" ref="C48:U48" si="18">IF((IF($D$11&gt;$G$114,$G$114,$D$11)*2)&lt;C47,1,0)</f>
        <v>0</v>
      </c>
      <c r="D48" s="104">
        <f t="shared" si="18"/>
        <v>0</v>
      </c>
      <c r="E48" s="104">
        <f t="shared" si="18"/>
        <v>0</v>
      </c>
      <c r="F48" s="104">
        <f t="shared" si="18"/>
        <v>0</v>
      </c>
      <c r="G48" s="104">
        <f t="shared" si="18"/>
        <v>0</v>
      </c>
      <c r="H48" s="104">
        <f t="shared" si="18"/>
        <v>0</v>
      </c>
      <c r="I48" s="104">
        <f t="shared" si="18"/>
        <v>0</v>
      </c>
      <c r="J48" s="104">
        <f t="shared" si="18"/>
        <v>0</v>
      </c>
      <c r="K48" s="104">
        <f t="shared" si="18"/>
        <v>0</v>
      </c>
      <c r="L48" s="104">
        <f t="shared" si="18"/>
        <v>0</v>
      </c>
      <c r="M48" s="104">
        <f t="shared" si="18"/>
        <v>0</v>
      </c>
      <c r="N48" s="104">
        <f t="shared" si="18"/>
        <v>0</v>
      </c>
      <c r="O48" s="104">
        <f t="shared" si="18"/>
        <v>0</v>
      </c>
      <c r="P48" s="104">
        <f t="shared" si="18"/>
        <v>0</v>
      </c>
      <c r="Q48" s="104">
        <f t="shared" si="18"/>
        <v>1</v>
      </c>
      <c r="R48" s="104">
        <f t="shared" si="18"/>
        <v>1</v>
      </c>
      <c r="S48" s="104">
        <f t="shared" si="18"/>
        <v>1</v>
      </c>
      <c r="T48" s="104">
        <f t="shared" si="18"/>
        <v>1</v>
      </c>
      <c r="U48" s="104">
        <f t="shared" si="18"/>
        <v>1</v>
      </c>
      <c r="V48" s="104">
        <f t="shared" ref="V48:AG48" si="19">IF((IF($D$8&gt;9,9,$D$8)*2)&lt;V47,1,0)</f>
        <v>0</v>
      </c>
      <c r="W48" s="104">
        <f t="shared" si="19"/>
        <v>0</v>
      </c>
      <c r="X48" s="104">
        <f t="shared" si="19"/>
        <v>0</v>
      </c>
      <c r="Y48" s="104">
        <f t="shared" si="19"/>
        <v>0</v>
      </c>
      <c r="Z48" s="104">
        <f t="shared" si="19"/>
        <v>0</v>
      </c>
      <c r="AA48" s="104">
        <f t="shared" si="19"/>
        <v>0</v>
      </c>
      <c r="AB48" s="104">
        <f t="shared" si="19"/>
        <v>0</v>
      </c>
      <c r="AC48" s="104">
        <f t="shared" si="19"/>
        <v>0</v>
      </c>
      <c r="AD48" s="104">
        <f t="shared" si="19"/>
        <v>0</v>
      </c>
      <c r="AE48" s="104">
        <f t="shared" si="19"/>
        <v>0</v>
      </c>
      <c r="AF48" s="104">
        <f t="shared" si="19"/>
        <v>0</v>
      </c>
      <c r="AG48" s="104">
        <f t="shared" si="19"/>
        <v>0</v>
      </c>
      <c r="AH48" s="104" t="s">
        <v>97</v>
      </c>
    </row>
    <row r="49" spans="1:29">
      <c r="B49" s="14" t="s">
        <v>98</v>
      </c>
      <c r="C49" s="14">
        <f>IF($D$11*2&lt;C47,1,0)</f>
        <v>0</v>
      </c>
      <c r="D49" s="14">
        <f>IF($D$11*2&lt;D47,1,0)</f>
        <v>0</v>
      </c>
      <c r="E49" s="14">
        <f>IF($D$11*2&lt;E47,1,0)</f>
        <v>0</v>
      </c>
      <c r="F49" s="105">
        <f>IF($D$11*2&lt;F47,1,0)</f>
        <v>0</v>
      </c>
      <c r="G49" s="105">
        <f t="shared" ref="G49:U49" si="20">IF($D$11*2&lt;G47,1,0)</f>
        <v>0</v>
      </c>
      <c r="H49" s="105">
        <f t="shared" si="20"/>
        <v>0</v>
      </c>
      <c r="I49" s="105">
        <f t="shared" si="20"/>
        <v>0</v>
      </c>
      <c r="J49" s="105">
        <f t="shared" si="20"/>
        <v>0</v>
      </c>
      <c r="K49" s="105">
        <f t="shared" si="20"/>
        <v>0</v>
      </c>
      <c r="L49" s="105">
        <f t="shared" si="20"/>
        <v>0</v>
      </c>
      <c r="M49" s="105">
        <f t="shared" si="20"/>
        <v>0</v>
      </c>
      <c r="N49" s="105">
        <f t="shared" si="20"/>
        <v>0</v>
      </c>
      <c r="O49" s="105">
        <f t="shared" si="20"/>
        <v>0</v>
      </c>
      <c r="P49" s="105">
        <f t="shared" si="20"/>
        <v>0</v>
      </c>
      <c r="Q49" s="105">
        <f t="shared" si="20"/>
        <v>1</v>
      </c>
      <c r="R49" s="105">
        <f t="shared" si="20"/>
        <v>1</v>
      </c>
      <c r="S49" s="105">
        <f t="shared" si="20"/>
        <v>1</v>
      </c>
      <c r="T49" s="105">
        <f t="shared" si="20"/>
        <v>1</v>
      </c>
      <c r="U49" s="105">
        <f t="shared" si="20"/>
        <v>1</v>
      </c>
      <c r="V49" s="14" t="s">
        <v>97</v>
      </c>
    </row>
    <row r="50" spans="1:29">
      <c r="A50" s="106" t="s">
        <v>26</v>
      </c>
      <c r="B50" s="107" t="s">
        <v>23</v>
      </c>
      <c r="C50" s="107"/>
      <c r="D50" s="107">
        <f>C51</f>
        <v>714292</v>
      </c>
      <c r="E50" s="107">
        <f>IF(E49=1,0,SUM($C$51:D51))</f>
        <v>2142863</v>
      </c>
      <c r="F50" s="107">
        <f>IF(F49=1,0,SUM($C$51:E51))</f>
        <v>3571434</v>
      </c>
      <c r="G50" s="107">
        <f>IF(G49=1,0,SUM($C$51:F51))</f>
        <v>5000005</v>
      </c>
      <c r="H50" s="107">
        <f>IF(H49=1,0,SUM($C$51:G51))</f>
        <v>6428576</v>
      </c>
      <c r="I50" s="107">
        <f>IF(I49=1,0,SUM(C51:H51))</f>
        <v>7857147</v>
      </c>
      <c r="J50" s="107">
        <f>IF(J49=1,0,SUM(C51:I51))</f>
        <v>9285718</v>
      </c>
      <c r="K50" s="107">
        <f>IF(K49=1,0,SUM(C51:J51))</f>
        <v>10714289</v>
      </c>
      <c r="L50" s="107">
        <f>IF(L49=1,0,SUM(C51:K51))</f>
        <v>12142860</v>
      </c>
      <c r="M50" s="107">
        <f>IF(M49=1,0,SUM(C51:L51))</f>
        <v>13571431</v>
      </c>
      <c r="N50" s="107">
        <f>IF(N49=1,0,SUM(C51:M51))</f>
        <v>15000002</v>
      </c>
      <c r="O50" s="107">
        <f>IF(O49=1,0,SUM(C51:N51))</f>
        <v>16428573</v>
      </c>
      <c r="P50" s="107">
        <f>IF(P49=1,0,SUM(C51:O51))</f>
        <v>17857144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23</v>
      </c>
    </row>
    <row r="51" spans="1:29">
      <c r="A51" s="106">
        <f>INT(D9*F10)</f>
        <v>0</v>
      </c>
      <c r="B51" s="107" t="s">
        <v>28</v>
      </c>
      <c r="C51" s="108">
        <f>(D9)-(SUM(D51:U51)+SUM(D54:U54)+A51)</f>
        <v>714292</v>
      </c>
      <c r="D51" s="108">
        <f>INT((D9-A51)/(D11*2))</f>
        <v>1428571</v>
      </c>
      <c r="E51" s="108">
        <f t="shared" ref="E51:T51" si="21">IF(E49=1,0,D51)</f>
        <v>1428571</v>
      </c>
      <c r="F51" s="108">
        <f t="shared" si="21"/>
        <v>1428571</v>
      </c>
      <c r="G51" s="108">
        <f t="shared" si="21"/>
        <v>1428571</v>
      </c>
      <c r="H51" s="108">
        <f t="shared" si="21"/>
        <v>1428571</v>
      </c>
      <c r="I51" s="108">
        <f t="shared" si="21"/>
        <v>1428571</v>
      </c>
      <c r="J51" s="108">
        <f t="shared" si="21"/>
        <v>1428571</v>
      </c>
      <c r="K51" s="108">
        <f t="shared" si="21"/>
        <v>1428571</v>
      </c>
      <c r="L51" s="108">
        <f t="shared" si="21"/>
        <v>1428571</v>
      </c>
      <c r="M51" s="108">
        <f t="shared" si="21"/>
        <v>1428571</v>
      </c>
      <c r="N51" s="108">
        <f t="shared" si="21"/>
        <v>1428571</v>
      </c>
      <c r="O51" s="108">
        <f t="shared" si="21"/>
        <v>1428571</v>
      </c>
      <c r="P51" s="108">
        <f t="shared" si="21"/>
        <v>1428571</v>
      </c>
      <c r="Q51" s="108">
        <f t="shared" si="21"/>
        <v>0</v>
      </c>
      <c r="R51" s="108">
        <f t="shared" si="21"/>
        <v>0</v>
      </c>
      <c r="S51" s="108">
        <f t="shared" si="21"/>
        <v>0</v>
      </c>
      <c r="T51" s="108">
        <f t="shared" si="21"/>
        <v>0</v>
      </c>
      <c r="U51" s="108"/>
      <c r="V51" s="14" t="s">
        <v>37</v>
      </c>
    </row>
    <row r="52" spans="1:29">
      <c r="B52" s="107" t="s">
        <v>24</v>
      </c>
      <c r="C52" s="108">
        <f>INT((D9-A51)*E106)-SUM(D52:T52)-SUM(D55:U55)</f>
        <v>71431</v>
      </c>
      <c r="D52" s="108">
        <f t="shared" ref="D52" si="22">INT(D51*$E$106)</f>
        <v>142857</v>
      </c>
      <c r="E52" s="108">
        <f>INT(E51*$E$106)</f>
        <v>142857</v>
      </c>
      <c r="F52" s="108">
        <f t="shared" ref="F52:U52" si="23">INT(F51*$E$106)</f>
        <v>142857</v>
      </c>
      <c r="G52" s="108">
        <f t="shared" si="23"/>
        <v>142857</v>
      </c>
      <c r="H52" s="108">
        <f t="shared" si="23"/>
        <v>142857</v>
      </c>
      <c r="I52" s="108">
        <f t="shared" si="23"/>
        <v>142857</v>
      </c>
      <c r="J52" s="108">
        <f t="shared" si="23"/>
        <v>142857</v>
      </c>
      <c r="K52" s="108">
        <f t="shared" si="23"/>
        <v>142857</v>
      </c>
      <c r="L52" s="108">
        <f t="shared" si="23"/>
        <v>142857</v>
      </c>
      <c r="M52" s="108">
        <f t="shared" si="23"/>
        <v>142857</v>
      </c>
      <c r="N52" s="108">
        <f t="shared" si="23"/>
        <v>142857</v>
      </c>
      <c r="O52" s="108">
        <f t="shared" si="23"/>
        <v>142857</v>
      </c>
      <c r="P52" s="108">
        <f t="shared" si="23"/>
        <v>142857</v>
      </c>
      <c r="Q52" s="108">
        <f t="shared" si="23"/>
        <v>0</v>
      </c>
      <c r="R52" s="108">
        <f t="shared" si="23"/>
        <v>0</v>
      </c>
      <c r="S52" s="108">
        <f t="shared" si="23"/>
        <v>0</v>
      </c>
      <c r="T52" s="108">
        <f t="shared" si="23"/>
        <v>0</v>
      </c>
      <c r="U52" s="108">
        <f t="shared" si="23"/>
        <v>0</v>
      </c>
      <c r="V52" s="14" t="s">
        <v>36</v>
      </c>
    </row>
    <row r="53" spans="1:29">
      <c r="B53" s="107" t="s">
        <v>25</v>
      </c>
      <c r="C53" s="108">
        <f>INT(D9*(C44)/2*D65)</f>
        <v>35000</v>
      </c>
      <c r="D53" s="108">
        <f t="shared" ref="D53:U53" si="24">INT(IF(D49=1,0,($D$9-D50)*($C$44)/2))</f>
        <v>67499</v>
      </c>
      <c r="E53" s="108">
        <f t="shared" si="24"/>
        <v>62499</v>
      </c>
      <c r="F53" s="108">
        <f t="shared" si="24"/>
        <v>57499</v>
      </c>
      <c r="G53" s="108">
        <f t="shared" si="24"/>
        <v>52499</v>
      </c>
      <c r="H53" s="108">
        <f t="shared" si="24"/>
        <v>47499</v>
      </c>
      <c r="I53" s="108">
        <f t="shared" si="24"/>
        <v>42499</v>
      </c>
      <c r="J53" s="108">
        <f t="shared" si="24"/>
        <v>37499</v>
      </c>
      <c r="K53" s="108">
        <f t="shared" si="24"/>
        <v>32499</v>
      </c>
      <c r="L53" s="108">
        <f t="shared" si="24"/>
        <v>27499</v>
      </c>
      <c r="M53" s="108">
        <f t="shared" si="24"/>
        <v>22499</v>
      </c>
      <c r="N53" s="108">
        <f t="shared" si="24"/>
        <v>17499</v>
      </c>
      <c r="O53" s="108">
        <f t="shared" si="24"/>
        <v>12499</v>
      </c>
      <c r="P53" s="108">
        <f t="shared" si="24"/>
        <v>7499</v>
      </c>
      <c r="Q53" s="108">
        <f t="shared" si="24"/>
        <v>0</v>
      </c>
      <c r="R53" s="108">
        <f t="shared" si="24"/>
        <v>0</v>
      </c>
      <c r="S53" s="108">
        <f t="shared" si="24"/>
        <v>0</v>
      </c>
      <c r="T53" s="108">
        <f t="shared" si="24"/>
        <v>0</v>
      </c>
      <c r="U53" s="108">
        <f t="shared" si="24"/>
        <v>0</v>
      </c>
      <c r="V53" s="14" t="s">
        <v>25</v>
      </c>
    </row>
    <row r="54" spans="1:29">
      <c r="A54" s="109"/>
      <c r="B54" s="107" t="s">
        <v>35</v>
      </c>
      <c r="C54" s="110"/>
      <c r="D54" s="110"/>
      <c r="E54" s="111">
        <f t="shared" ref="E54:U54" si="25">INT(E60*$E$65*D51)</f>
        <v>0</v>
      </c>
      <c r="F54" s="111">
        <f t="shared" si="25"/>
        <v>0</v>
      </c>
      <c r="G54" s="111">
        <f t="shared" si="25"/>
        <v>0</v>
      </c>
      <c r="H54" s="111">
        <f t="shared" si="25"/>
        <v>0</v>
      </c>
      <c r="I54" s="111">
        <f t="shared" si="25"/>
        <v>0</v>
      </c>
      <c r="J54" s="111">
        <f t="shared" si="25"/>
        <v>0</v>
      </c>
      <c r="K54" s="111">
        <f t="shared" si="25"/>
        <v>0</v>
      </c>
      <c r="L54" s="111">
        <f t="shared" si="25"/>
        <v>0</v>
      </c>
      <c r="M54" s="111">
        <f t="shared" si="25"/>
        <v>0</v>
      </c>
      <c r="N54" s="111">
        <f t="shared" si="25"/>
        <v>0</v>
      </c>
      <c r="O54" s="111">
        <f t="shared" si="25"/>
        <v>0</v>
      </c>
      <c r="P54" s="111">
        <f t="shared" si="25"/>
        <v>0</v>
      </c>
      <c r="Q54" s="111">
        <f t="shared" si="25"/>
        <v>714285</v>
      </c>
      <c r="R54" s="111">
        <f t="shared" si="25"/>
        <v>0</v>
      </c>
      <c r="S54" s="111">
        <f t="shared" si="25"/>
        <v>0</v>
      </c>
      <c r="T54" s="111">
        <f t="shared" si="25"/>
        <v>0</v>
      </c>
      <c r="U54" s="111">
        <f t="shared" si="25"/>
        <v>0</v>
      </c>
      <c r="V54" s="14" t="s">
        <v>35</v>
      </c>
    </row>
    <row r="55" spans="1:29">
      <c r="A55" s="112"/>
      <c r="B55" s="107" t="s">
        <v>36</v>
      </c>
      <c r="C55" s="107">
        <f t="shared" ref="C55:U55" si="26">INT(C54*$E$106)</f>
        <v>0</v>
      </c>
      <c r="D55" s="107">
        <f t="shared" si="26"/>
        <v>0</v>
      </c>
      <c r="E55" s="107">
        <f t="shared" si="26"/>
        <v>0</v>
      </c>
      <c r="F55" s="107">
        <f t="shared" si="26"/>
        <v>0</v>
      </c>
      <c r="G55" s="107">
        <f t="shared" si="26"/>
        <v>0</v>
      </c>
      <c r="H55" s="107">
        <f t="shared" si="26"/>
        <v>0</v>
      </c>
      <c r="I55" s="108">
        <f t="shared" si="26"/>
        <v>0</v>
      </c>
      <c r="J55" s="108">
        <f t="shared" si="26"/>
        <v>0</v>
      </c>
      <c r="K55" s="108">
        <f t="shared" si="26"/>
        <v>0</v>
      </c>
      <c r="L55" s="108">
        <f t="shared" si="26"/>
        <v>0</v>
      </c>
      <c r="M55" s="108">
        <f t="shared" si="26"/>
        <v>0</v>
      </c>
      <c r="N55" s="108">
        <f t="shared" si="26"/>
        <v>0</v>
      </c>
      <c r="O55" s="108">
        <f t="shared" si="26"/>
        <v>0</v>
      </c>
      <c r="P55" s="108">
        <f t="shared" si="26"/>
        <v>0</v>
      </c>
      <c r="Q55" s="108">
        <f t="shared" si="26"/>
        <v>71428</v>
      </c>
      <c r="R55" s="108">
        <f t="shared" si="26"/>
        <v>0</v>
      </c>
      <c r="S55" s="108">
        <f t="shared" si="26"/>
        <v>0</v>
      </c>
      <c r="T55" s="108">
        <f t="shared" si="26"/>
        <v>0</v>
      </c>
      <c r="U55" s="108">
        <f t="shared" si="26"/>
        <v>0</v>
      </c>
      <c r="V55" s="14" t="s">
        <v>36</v>
      </c>
    </row>
    <row r="56" spans="1:29">
      <c r="A56" s="233"/>
      <c r="B56" s="107" t="s">
        <v>25</v>
      </c>
      <c r="C56" s="108"/>
      <c r="D56" s="107"/>
      <c r="E56" s="108">
        <f>INT((($D$9-SUM($C$51:D51))*($C$44)/2)*$E$65*E60)</f>
        <v>0</v>
      </c>
      <c r="F56" s="108">
        <f>INT((($D$9-SUM($C$51:E51))*($C$44)/2)*$E$65*F60)</f>
        <v>0</v>
      </c>
      <c r="G56" s="108">
        <f>INT((($D$9-SUM($C$51:F51))*($C$44)/2)*$E$65*G60)</f>
        <v>0</v>
      </c>
      <c r="H56" s="108">
        <f>INT((($D$9-SUM($C$51:G51))*($C$44)/2)*$E$65*H60)</f>
        <v>0</v>
      </c>
      <c r="I56" s="108">
        <f>INT((($D$9-SUM($C$51:H51))*($C$44)/2)*$E$65*I60)</f>
        <v>0</v>
      </c>
      <c r="J56" s="108">
        <f>INT((($D$9-SUM($C$51:I51))*($C$44)/2)*$E$65*J60)</f>
        <v>0</v>
      </c>
      <c r="K56" s="108">
        <f>INT((($D$9-SUM($C$51:J51))*($C$44)/2)*$E$65*K60)</f>
        <v>0</v>
      </c>
      <c r="L56" s="108">
        <f>INT((($D$9-SUM($C$51:K51))*($C$44)/2)*$E$65*L60)</f>
        <v>0</v>
      </c>
      <c r="M56" s="108">
        <f>INT((($D$9-SUM($C$51:L51))*($C$44)/2)*$E$65*M60)</f>
        <v>0</v>
      </c>
      <c r="N56" s="108">
        <f>INT((($D$9-SUM($C$51:M51))*($C$44)/2)*$E$65*N60)</f>
        <v>0</v>
      </c>
      <c r="O56" s="108">
        <f>INT((($D$9-SUM($C$51:N51))*($C$44)/2)*$E$65*O60)</f>
        <v>0</v>
      </c>
      <c r="P56" s="108">
        <f>INT((($D$9-SUM($C$51:O51))*($C$44)/2)*$E$65*P60)</f>
        <v>0</v>
      </c>
      <c r="Q56" s="108">
        <f>INT((($D$9-SUM($C$51:P51))*($C$44)/2)*$E$65*Q60)</f>
        <v>1249</v>
      </c>
      <c r="R56" s="108">
        <f>INT((($D$9-SUM($C$51:Q51))*($C$44)/2)*$E$65*R60)</f>
        <v>0</v>
      </c>
      <c r="S56" s="113">
        <f>INT((($D$9-SUM($C$51:R51))*($C$44)/2)*$E$65*S60)</f>
        <v>0</v>
      </c>
      <c r="T56" s="108">
        <f>INT((($D$9-SUM($C$51:S51))*($C$44)/2)*$E$65*T60)</f>
        <v>0</v>
      </c>
      <c r="U56" s="108">
        <f>INT((($D$9-SUM($C$51:T51))*($C$44)/2)*$E$65*U60)</f>
        <v>0</v>
      </c>
      <c r="V56" s="14" t="s">
        <v>25</v>
      </c>
    </row>
    <row r="59" spans="1:29">
      <c r="B59" s="16" t="s">
        <v>75</v>
      </c>
      <c r="C59" s="15">
        <f>IF(C47=$I$64,IF($H$64=1,1,0),0)</f>
        <v>0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7">IF(F47=$I$64,IF($H$64=1,1,0),0)</f>
        <v>0</v>
      </c>
      <c r="G59" s="15">
        <f t="shared" si="27"/>
        <v>0</v>
      </c>
      <c r="H59" s="15">
        <f t="shared" si="27"/>
        <v>0</v>
      </c>
      <c r="I59" s="15">
        <f t="shared" si="27"/>
        <v>0</v>
      </c>
      <c r="J59" s="15">
        <f t="shared" si="27"/>
        <v>0</v>
      </c>
      <c r="K59" s="15">
        <f t="shared" si="27"/>
        <v>0</v>
      </c>
      <c r="L59" s="15">
        <f t="shared" si="27"/>
        <v>0</v>
      </c>
      <c r="M59" s="15">
        <f t="shared" si="27"/>
        <v>0</v>
      </c>
      <c r="N59" s="15">
        <f t="shared" si="27"/>
        <v>0</v>
      </c>
      <c r="O59" s="15">
        <f t="shared" si="27"/>
        <v>0</v>
      </c>
      <c r="P59" s="15">
        <f t="shared" si="27"/>
        <v>0</v>
      </c>
      <c r="Q59" s="15">
        <f t="shared" si="27"/>
        <v>1</v>
      </c>
      <c r="R59" s="15">
        <f t="shared" si="27"/>
        <v>0</v>
      </c>
      <c r="S59" s="15">
        <f t="shared" si="27"/>
        <v>0</v>
      </c>
      <c r="T59" s="15">
        <f t="shared" si="27"/>
        <v>0</v>
      </c>
      <c r="U59" s="15">
        <f t="shared" si="27"/>
        <v>0</v>
      </c>
      <c r="V59" s="78"/>
    </row>
    <row r="60" spans="1:29">
      <c r="B60" s="114" t="s">
        <v>74</v>
      </c>
      <c r="C60" s="115">
        <f t="shared" ref="C60:M60" si="28">IF(C47=$I$65,IF($H$65=1,1,0),0)</f>
        <v>0</v>
      </c>
      <c r="D60" s="115">
        <f t="shared" si="28"/>
        <v>0</v>
      </c>
      <c r="E60" s="115">
        <f t="shared" si="28"/>
        <v>0</v>
      </c>
      <c r="F60" s="115">
        <f t="shared" si="28"/>
        <v>0</v>
      </c>
      <c r="G60" s="115">
        <f t="shared" si="28"/>
        <v>0</v>
      </c>
      <c r="H60" s="115">
        <f t="shared" si="28"/>
        <v>0</v>
      </c>
      <c r="I60" s="115">
        <f t="shared" si="28"/>
        <v>0</v>
      </c>
      <c r="J60" s="115">
        <f t="shared" si="28"/>
        <v>0</v>
      </c>
      <c r="K60" s="115">
        <f t="shared" si="28"/>
        <v>0</v>
      </c>
      <c r="L60" s="115">
        <f t="shared" si="28"/>
        <v>0</v>
      </c>
      <c r="M60" s="115">
        <f t="shared" si="28"/>
        <v>0</v>
      </c>
      <c r="N60" s="115">
        <f>IF(N47=$I$65,IF($H$65=1,1,0),0)</f>
        <v>0</v>
      </c>
      <c r="O60" s="115">
        <f t="shared" ref="O60:U60" si="29">IF(O47=$I$65,IF($H$65=1,1,0),0)</f>
        <v>0</v>
      </c>
      <c r="P60" s="115">
        <f t="shared" si="29"/>
        <v>0</v>
      </c>
      <c r="Q60" s="115">
        <f t="shared" si="29"/>
        <v>1</v>
      </c>
      <c r="R60" s="115">
        <f t="shared" si="29"/>
        <v>0</v>
      </c>
      <c r="S60" s="115">
        <f t="shared" si="29"/>
        <v>0</v>
      </c>
      <c r="T60" s="115">
        <f t="shared" si="29"/>
        <v>0</v>
      </c>
      <c r="U60" s="115">
        <f t="shared" si="29"/>
        <v>0</v>
      </c>
      <c r="V60" s="78"/>
    </row>
    <row r="61" spans="1:29">
      <c r="A61" s="78"/>
      <c r="B61" s="116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78"/>
      <c r="Q61" s="78"/>
      <c r="R61" s="180"/>
    </row>
    <row r="62" spans="1:29">
      <c r="A62" s="78"/>
      <c r="B62" s="117" t="s">
        <v>26</v>
      </c>
      <c r="C62" s="114"/>
      <c r="D62" s="114">
        <f t="shared" ref="D62:P62" si="30">IF($H$65=1,$D$9*$F$10*D60,IF(D49=1,0,IF(E49=1,$D$9*$F$10,0)))</f>
        <v>0</v>
      </c>
      <c r="E62" s="114">
        <f t="shared" si="30"/>
        <v>0</v>
      </c>
      <c r="F62" s="114">
        <f t="shared" si="30"/>
        <v>0</v>
      </c>
      <c r="G62" s="114">
        <f t="shared" si="30"/>
        <v>0</v>
      </c>
      <c r="H62" s="114">
        <f t="shared" si="30"/>
        <v>0</v>
      </c>
      <c r="I62" s="114">
        <f t="shared" si="30"/>
        <v>0</v>
      </c>
      <c r="J62" s="114">
        <f t="shared" si="30"/>
        <v>0</v>
      </c>
      <c r="K62" s="114">
        <f t="shared" si="30"/>
        <v>0</v>
      </c>
      <c r="L62" s="114">
        <f t="shared" si="30"/>
        <v>0</v>
      </c>
      <c r="M62" s="114">
        <f t="shared" si="30"/>
        <v>0</v>
      </c>
      <c r="N62" s="114">
        <f t="shared" si="30"/>
        <v>0</v>
      </c>
      <c r="O62" s="114">
        <f t="shared" si="30"/>
        <v>0</v>
      </c>
      <c r="P62" s="114">
        <f t="shared" si="30"/>
        <v>0</v>
      </c>
      <c r="Q62" s="114">
        <f>IF($H$65=1,$D$9*$F$10*Q60,IF(Q49=1,0,IF(R49=1,$D$9*$F$10,0)))</f>
        <v>0</v>
      </c>
      <c r="R62" s="114">
        <f t="shared" ref="R62:U62" si="31">IF($H$65=1,$D$9*$F$10*R60,IF(R49=1,0,IF(S49=1,$D$9*$F$10,0)))</f>
        <v>0</v>
      </c>
      <c r="S62" s="114">
        <f t="shared" si="31"/>
        <v>0</v>
      </c>
      <c r="T62" s="114">
        <f t="shared" si="31"/>
        <v>0</v>
      </c>
      <c r="U62" s="114">
        <f t="shared" si="31"/>
        <v>0</v>
      </c>
    </row>
    <row r="63" spans="1:29">
      <c r="A63" s="78"/>
      <c r="B63" s="116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78"/>
      <c r="Q63" s="78"/>
    </row>
    <row r="64" spans="1:29">
      <c r="A64" s="78"/>
      <c r="B64" s="116"/>
      <c r="C64" s="221"/>
      <c r="D64" s="221"/>
      <c r="E64" s="304" t="s">
        <v>100</v>
      </c>
      <c r="F64" s="304"/>
      <c r="G64" s="304"/>
      <c r="H64" s="221">
        <f>VLOOKUP(A45,B86:E97,4)</f>
        <v>1</v>
      </c>
      <c r="I64" s="221">
        <f>IF(D11&gt;$G$114,$G$114,D11)*2+H64</f>
        <v>15</v>
      </c>
      <c r="J64" s="221"/>
      <c r="K64" s="221"/>
      <c r="L64" s="221"/>
      <c r="M64" s="221"/>
      <c r="N64" s="221"/>
      <c r="O64" s="221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1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15</v>
      </c>
      <c r="J65" s="221"/>
      <c r="K65" s="221"/>
      <c r="L65" s="221"/>
      <c r="M65" s="221"/>
      <c r="N65" s="221"/>
      <c r="O65" s="221"/>
      <c r="P65" s="78"/>
      <c r="Q65" s="78"/>
    </row>
    <row r="66" spans="1:22">
      <c r="A66" s="78"/>
      <c r="B66" s="116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32">C39</f>
        <v>22000000</v>
      </c>
      <c r="H74" s="130">
        <f t="shared" si="32"/>
        <v>21214277</v>
      </c>
      <c r="I74" s="130">
        <f t="shared" si="32"/>
        <v>19642849</v>
      </c>
      <c r="J74" s="130">
        <f t="shared" si="32"/>
        <v>18071421</v>
      </c>
      <c r="K74" s="130">
        <f t="shared" si="32"/>
        <v>16499993</v>
      </c>
      <c r="L74" s="130">
        <f t="shared" si="32"/>
        <v>14928565</v>
      </c>
      <c r="M74" s="130">
        <f t="shared" si="32"/>
        <v>13357137</v>
      </c>
      <c r="N74" s="130">
        <f t="shared" si="32"/>
        <v>11785709</v>
      </c>
      <c r="O74" s="130">
        <f t="shared" si="32"/>
        <v>10214281</v>
      </c>
      <c r="P74" s="130">
        <f t="shared" si="32"/>
        <v>8642853</v>
      </c>
      <c r="Q74" s="130">
        <f t="shared" si="32"/>
        <v>7071425</v>
      </c>
      <c r="R74" s="130">
        <f t="shared" si="32"/>
        <v>5499997</v>
      </c>
      <c r="S74" s="130">
        <f t="shared" si="32"/>
        <v>3928569</v>
      </c>
      <c r="T74" s="130">
        <f t="shared" si="32"/>
        <v>2357141</v>
      </c>
      <c r="U74" s="130">
        <f t="shared" si="32"/>
        <v>785713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3">C41</f>
        <v>24000</v>
      </c>
      <c r="H75" s="130">
        <f t="shared" si="33"/>
        <v>48000</v>
      </c>
      <c r="I75" s="130">
        <f t="shared" si="33"/>
        <v>47142</v>
      </c>
      <c r="J75" s="130">
        <f t="shared" si="33"/>
        <v>43371</v>
      </c>
      <c r="K75" s="130">
        <f t="shared" si="33"/>
        <v>39599</v>
      </c>
      <c r="L75" s="130">
        <f t="shared" si="33"/>
        <v>35828</v>
      </c>
      <c r="M75" s="130">
        <f t="shared" si="33"/>
        <v>32057</v>
      </c>
      <c r="N75" s="130">
        <f t="shared" si="33"/>
        <v>28285</v>
      </c>
      <c r="O75" s="130">
        <f t="shared" si="33"/>
        <v>24514</v>
      </c>
      <c r="P75" s="130">
        <f t="shared" si="33"/>
        <v>20742</v>
      </c>
      <c r="Q75" s="130">
        <f t="shared" si="33"/>
        <v>16971</v>
      </c>
      <c r="R75" s="130">
        <f t="shared" si="33"/>
        <v>13199</v>
      </c>
      <c r="S75" s="130">
        <f t="shared" si="33"/>
        <v>9428</v>
      </c>
      <c r="T75" s="130">
        <f t="shared" si="33"/>
        <v>5657</v>
      </c>
      <c r="U75" s="130">
        <f t="shared" si="33"/>
        <v>942</v>
      </c>
      <c r="V75" s="130">
        <f>V41</f>
        <v>389735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2022</v>
      </c>
      <c r="C98" s="152">
        <f>MONTH(D12)</f>
        <v>7</v>
      </c>
      <c r="E98" s="14">
        <f>D11*2+VLOOKUP(MONTH(D12),B86:E97,4)</f>
        <v>15</v>
      </c>
    </row>
    <row r="99" spans="2:11">
      <c r="B99" s="14">
        <f>B98+VLOOKUP(C98,B86:D97,3)</f>
        <v>2022</v>
      </c>
      <c r="C99" s="14">
        <f>VLOOKUP(C98,B86:C97,2)</f>
        <v>9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0.1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7.0000000000000001E-3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0" t="s">
        <v>102</v>
      </c>
      <c r="D113" s="158" t="s">
        <v>127</v>
      </c>
      <c r="F113" s="220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4">C28</f>
        <v>44805</v>
      </c>
      <c r="D122" s="159">
        <f t="shared" si="34"/>
        <v>44986</v>
      </c>
      <c r="E122" s="159">
        <f t="shared" si="34"/>
        <v>45170</v>
      </c>
      <c r="F122" s="159">
        <f t="shared" si="34"/>
        <v>45352</v>
      </c>
      <c r="G122" s="159">
        <f t="shared" si="34"/>
        <v>45536</v>
      </c>
      <c r="H122" s="159">
        <f t="shared" si="34"/>
        <v>45717</v>
      </c>
      <c r="I122" s="159">
        <f t="shared" si="34"/>
        <v>45901</v>
      </c>
      <c r="J122" s="159">
        <f t="shared" si="34"/>
        <v>46082</v>
      </c>
      <c r="K122" s="159">
        <f t="shared" si="34"/>
        <v>46266</v>
      </c>
      <c r="L122" s="159">
        <f t="shared" si="34"/>
        <v>46447</v>
      </c>
      <c r="M122" s="159">
        <f t="shared" si="34"/>
        <v>46631</v>
      </c>
      <c r="N122" s="159">
        <f t="shared" si="34"/>
        <v>46813</v>
      </c>
      <c r="O122" s="159">
        <f t="shared" si="34"/>
        <v>46997</v>
      </c>
      <c r="P122" s="159">
        <f t="shared" si="34"/>
        <v>47178</v>
      </c>
      <c r="Q122" s="159">
        <f t="shared" si="34"/>
        <v>47362</v>
      </c>
      <c r="R122" s="159">
        <f t="shared" si="34"/>
        <v>47543</v>
      </c>
      <c r="S122" s="159">
        <f t="shared" si="34"/>
        <v>47727</v>
      </c>
      <c r="T122" s="159">
        <f t="shared" si="34"/>
        <v>47908</v>
      </c>
      <c r="U122" s="159">
        <f t="shared" si="34"/>
        <v>48092</v>
      </c>
    </row>
    <row r="123" spans="1:22">
      <c r="B123" s="163" t="s">
        <v>122</v>
      </c>
      <c r="C123" s="159">
        <f>EDATE(C122,-6)</f>
        <v>44621</v>
      </c>
      <c r="D123" s="159">
        <f t="shared" ref="D123:U123" si="35">EDATE(D122,-6)</f>
        <v>44805</v>
      </c>
      <c r="E123" s="159">
        <f t="shared" si="35"/>
        <v>44986</v>
      </c>
      <c r="F123" s="159">
        <f t="shared" si="35"/>
        <v>45170</v>
      </c>
      <c r="G123" s="159">
        <f t="shared" si="35"/>
        <v>45352</v>
      </c>
      <c r="H123" s="159">
        <f t="shared" si="35"/>
        <v>45536</v>
      </c>
      <c r="I123" s="159">
        <f t="shared" si="35"/>
        <v>45717</v>
      </c>
      <c r="J123" s="159">
        <f t="shared" si="35"/>
        <v>45901</v>
      </c>
      <c r="K123" s="159">
        <f t="shared" si="35"/>
        <v>46082</v>
      </c>
      <c r="L123" s="159">
        <f t="shared" si="35"/>
        <v>46266</v>
      </c>
      <c r="M123" s="159">
        <f t="shared" si="35"/>
        <v>46447</v>
      </c>
      <c r="N123" s="159">
        <f t="shared" si="35"/>
        <v>46631</v>
      </c>
      <c r="O123" s="159">
        <f t="shared" si="35"/>
        <v>46813</v>
      </c>
      <c r="P123" s="159">
        <f t="shared" si="35"/>
        <v>46997</v>
      </c>
      <c r="Q123" s="159">
        <f t="shared" si="35"/>
        <v>47178</v>
      </c>
      <c r="R123" s="159">
        <f t="shared" si="35"/>
        <v>47362</v>
      </c>
      <c r="S123" s="159">
        <f t="shared" si="35"/>
        <v>47543</v>
      </c>
      <c r="T123" s="159">
        <f t="shared" si="35"/>
        <v>47727</v>
      </c>
      <c r="U123" s="159">
        <f t="shared" si="35"/>
        <v>47908</v>
      </c>
    </row>
    <row r="124" spans="1:22" s="77" customFormat="1">
      <c r="A124" s="221"/>
      <c r="B124" s="177" t="s">
        <v>56</v>
      </c>
      <c r="C124" s="114">
        <f>C39</f>
        <v>22000000</v>
      </c>
      <c r="D124" s="114">
        <f t="shared" ref="D124:U124" si="36">D39</f>
        <v>21214277</v>
      </c>
      <c r="E124" s="114">
        <f t="shared" si="36"/>
        <v>19642849</v>
      </c>
      <c r="F124" s="114">
        <f t="shared" si="36"/>
        <v>18071421</v>
      </c>
      <c r="G124" s="114">
        <f t="shared" si="36"/>
        <v>16499993</v>
      </c>
      <c r="H124" s="114">
        <f t="shared" si="36"/>
        <v>14928565</v>
      </c>
      <c r="I124" s="114">
        <f t="shared" si="36"/>
        <v>13357137</v>
      </c>
      <c r="J124" s="114">
        <f t="shared" si="36"/>
        <v>11785709</v>
      </c>
      <c r="K124" s="114">
        <f t="shared" si="36"/>
        <v>10214281</v>
      </c>
      <c r="L124" s="114">
        <f t="shared" si="36"/>
        <v>8642853</v>
      </c>
      <c r="M124" s="114">
        <f t="shared" si="36"/>
        <v>7071425</v>
      </c>
      <c r="N124" s="114">
        <f t="shared" si="36"/>
        <v>5499997</v>
      </c>
      <c r="O124" s="114">
        <f t="shared" si="36"/>
        <v>3928569</v>
      </c>
      <c r="P124" s="114">
        <f t="shared" si="36"/>
        <v>2357141</v>
      </c>
      <c r="Q124" s="114">
        <f t="shared" si="36"/>
        <v>785713</v>
      </c>
      <c r="R124" s="114">
        <f t="shared" si="36"/>
        <v>0</v>
      </c>
      <c r="S124" s="114">
        <f t="shared" si="36"/>
        <v>0</v>
      </c>
      <c r="T124" s="114">
        <f t="shared" si="36"/>
        <v>0</v>
      </c>
      <c r="U124" s="114">
        <f t="shared" si="36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A1:R1"/>
    <mergeCell ref="K2:Q2"/>
    <mergeCell ref="A4:N4"/>
    <mergeCell ref="A5:N5"/>
    <mergeCell ref="B7:C7"/>
    <mergeCell ref="D7:E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3:C13"/>
    <mergeCell ref="D13:E13"/>
    <mergeCell ref="F15:O15"/>
    <mergeCell ref="F16:M16"/>
    <mergeCell ref="N16:O17"/>
    <mergeCell ref="G17:H17"/>
    <mergeCell ref="I17:M17"/>
    <mergeCell ref="G18:H18"/>
    <mergeCell ref="I18:M18"/>
    <mergeCell ref="G19:H19"/>
    <mergeCell ref="I19:M19"/>
    <mergeCell ref="G20:H20"/>
    <mergeCell ref="I20:M20"/>
    <mergeCell ref="G21:G22"/>
    <mergeCell ref="I21:M21"/>
    <mergeCell ref="I22:M22"/>
    <mergeCell ref="G23:H24"/>
    <mergeCell ref="I23:M23"/>
    <mergeCell ref="I24:M24"/>
    <mergeCell ref="B27:B29"/>
    <mergeCell ref="V27:V29"/>
    <mergeCell ref="V39:V40"/>
    <mergeCell ref="R44:U44"/>
    <mergeCell ref="E64:G64"/>
  </mergeCells>
  <phoneticPr fontId="17"/>
  <conditionalFormatting sqref="H26:U26">
    <cfRule type="expression" dxfId="107" priority="14" stopIfTrue="1">
      <formula>$N$49=$E$99</formula>
    </cfRule>
    <cfRule type="cellIs" dxfId="106" priority="15" stopIfTrue="1" operator="equal">
      <formula>$E$99=$N$49</formula>
    </cfRule>
    <cfRule type="cellIs" dxfId="105" priority="16" stopIfTrue="1" operator="equal">
      <formula>$N$49=$E$99</formula>
    </cfRule>
  </conditionalFormatting>
  <conditionalFormatting sqref="P26">
    <cfRule type="expression" dxfId="104" priority="13" stopIfTrue="1">
      <formula>$P$49=$E$99</formula>
    </cfRule>
  </conditionalFormatting>
  <conditionalFormatting sqref="Q26">
    <cfRule type="expression" dxfId="103" priority="12" stopIfTrue="1">
      <formula>$Q$49=$E$99</formula>
    </cfRule>
  </conditionalFormatting>
  <conditionalFormatting sqref="R26">
    <cfRule type="expression" dxfId="102" priority="10" stopIfTrue="1">
      <formula>$R$49=$E$99</formula>
    </cfRule>
    <cfRule type="cellIs" dxfId="101" priority="11" stopIfTrue="1" operator="equal">
      <formula>$R$49=$E$99</formula>
    </cfRule>
  </conditionalFormatting>
  <conditionalFormatting sqref="S26">
    <cfRule type="expression" dxfId="100" priority="9" stopIfTrue="1">
      <formula>$S$49=$E$99</formula>
    </cfRule>
  </conditionalFormatting>
  <conditionalFormatting sqref="T26">
    <cfRule type="expression" dxfId="99" priority="8" stopIfTrue="1">
      <formula>$T$49=$E$99</formula>
    </cfRule>
  </conditionalFormatting>
  <conditionalFormatting sqref="U26">
    <cfRule type="expression" dxfId="98" priority="7" stopIfTrue="1">
      <formula>$U$49=$E$99</formula>
    </cfRule>
  </conditionalFormatting>
  <conditionalFormatting sqref="M26">
    <cfRule type="expression" dxfId="97" priority="6" stopIfTrue="1">
      <formula>$M$49=$E$99</formula>
    </cfRule>
  </conditionalFormatting>
  <conditionalFormatting sqref="L26">
    <cfRule type="expression" dxfId="96" priority="5" stopIfTrue="1">
      <formula>$L$49=$E$99</formula>
    </cfRule>
  </conditionalFormatting>
  <conditionalFormatting sqref="H26:U26">
    <cfRule type="expression" dxfId="95" priority="4" stopIfTrue="1">
      <formula>$H$49=$E$99</formula>
    </cfRule>
  </conditionalFormatting>
  <conditionalFormatting sqref="I26">
    <cfRule type="expression" dxfId="94" priority="3" stopIfTrue="1">
      <formula>$I$49=$E$99</formula>
    </cfRule>
  </conditionalFormatting>
  <conditionalFormatting sqref="J26">
    <cfRule type="expression" dxfId="93" priority="2" stopIfTrue="1">
      <formula>$J$49=$E$99</formula>
    </cfRule>
  </conditionalFormatting>
  <conditionalFormatting sqref="K26">
    <cfRule type="expression" dxfId="92" priority="1" stopIfTrue="1">
      <formula>$K$49=$E$99</formula>
    </cfRule>
  </conditionalFormatting>
  <conditionalFormatting sqref="O26:U26">
    <cfRule type="expression" dxfId="91" priority="17" stopIfTrue="1">
      <formula>$O$49=$E$99</formula>
    </cfRule>
    <cfRule type="expression" dxfId="90" priority="18" stopIfTrue="1">
      <formula>$O$4=$E$99</formula>
    </cfRule>
  </conditionalFormatting>
  <dataValidations count="2">
    <dataValidation type="whole" allowBlank="1" showInputMessage="1" showErrorMessage="1" sqref="D13:E13" xr:uid="{3D848BA2-BE89-4614-B73F-B83DE74EAF14}">
      <formula1>1</formula1>
      <formula2>7</formula2>
    </dataValidation>
    <dataValidation type="whole" errorStyle="warning" operator="greaterThanOrEqual" allowBlank="1" showInputMessage="1" showErrorMessage="1" error="入力し直し" sqref="E7 D7:D10" xr:uid="{662D3A5A-D2E1-4C7E-A508-80EB725A15C3}">
      <formula1>100000</formula1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2850-81FC-4A34-B487-418AA509A06F}">
  <sheetPr>
    <pageSetUpPr fitToPage="1"/>
  </sheetPr>
  <dimension ref="A1:AH125"/>
  <sheetViews>
    <sheetView showZeros="0" view="pageBreakPreview" topLeftCell="A109" zoomScale="80" zoomScaleNormal="100" zoomScaleSheetLayoutView="80" workbookViewId="0">
      <selection activeCell="C124" sqref="C124:U124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'信用保険料計算書（上限2000万）'!I9</f>
        <v>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'信用保険料計算書（上限2000万）'!I10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'信用保険料計算書（上限2000万）'!I11</f>
        <v>0.1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'信用保険料計算書（上限2000万）'!I14</f>
        <v>0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'信用保険料計算書（上限2000万）'!I15</f>
        <v>0</v>
      </c>
      <c r="E12" s="283"/>
      <c r="F12" s="12" t="s">
        <v>29</v>
      </c>
      <c r="G12" s="286">
        <f>IF(D12="","",EDATE(D12,D11*12)-1)</f>
        <v>-1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18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18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19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171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16</v>
      </c>
    </row>
    <row r="28" spans="2:22" s="17" customFormat="1" ht="14.4" customHeight="1">
      <c r="B28" s="299"/>
      <c r="C28" s="45">
        <f>DATE(B99,C99,1)</f>
        <v>61</v>
      </c>
      <c r="D28" s="46">
        <f>EDATE(C28,6)</f>
        <v>245</v>
      </c>
      <c r="E28" s="46">
        <f>EDATE(D28,6)</f>
        <v>426</v>
      </c>
      <c r="F28" s="46">
        <f>EDATE(E28,6)</f>
        <v>610</v>
      </c>
      <c r="G28" s="46">
        <f>EDATE(F28,6)</f>
        <v>791</v>
      </c>
      <c r="H28" s="46">
        <f t="shared" ref="H28:U28" si="1">EDATE(G28,6)</f>
        <v>975</v>
      </c>
      <c r="I28" s="46">
        <f t="shared" si="1"/>
        <v>1156</v>
      </c>
      <c r="J28" s="46">
        <f t="shared" si="1"/>
        <v>1340</v>
      </c>
      <c r="K28" s="46">
        <f t="shared" si="1"/>
        <v>1522</v>
      </c>
      <c r="L28" s="46">
        <f t="shared" si="1"/>
        <v>1706</v>
      </c>
      <c r="M28" s="46">
        <f t="shared" si="1"/>
        <v>1887</v>
      </c>
      <c r="N28" s="46">
        <f t="shared" si="1"/>
        <v>2071</v>
      </c>
      <c r="O28" s="46">
        <f t="shared" si="1"/>
        <v>2252</v>
      </c>
      <c r="P28" s="46">
        <f t="shared" si="1"/>
        <v>2436</v>
      </c>
      <c r="Q28" s="46">
        <f t="shared" si="1"/>
        <v>2617</v>
      </c>
      <c r="R28" s="46">
        <f t="shared" si="1"/>
        <v>2801</v>
      </c>
      <c r="S28" s="46">
        <f t="shared" si="1"/>
        <v>2983</v>
      </c>
      <c r="T28" s="46">
        <f t="shared" si="1"/>
        <v>3167</v>
      </c>
      <c r="U28" s="47">
        <f t="shared" si="1"/>
        <v>3348</v>
      </c>
      <c r="V28" s="299"/>
    </row>
    <row r="29" spans="2:22" s="17" customFormat="1" ht="14.4" customHeight="1">
      <c r="B29" s="300"/>
      <c r="C29" s="9" t="s">
        <v>172</v>
      </c>
      <c r="D29" s="10" t="s">
        <v>172</v>
      </c>
      <c r="E29" s="10" t="s">
        <v>172</v>
      </c>
      <c r="F29" s="10" t="s">
        <v>172</v>
      </c>
      <c r="G29" s="10" t="s">
        <v>172</v>
      </c>
      <c r="H29" s="10" t="s">
        <v>172</v>
      </c>
      <c r="I29" s="10" t="s">
        <v>172</v>
      </c>
      <c r="J29" s="10" t="s">
        <v>172</v>
      </c>
      <c r="K29" s="10" t="s">
        <v>172</v>
      </c>
      <c r="L29" s="10" t="s">
        <v>172</v>
      </c>
      <c r="M29" s="10" t="s">
        <v>172</v>
      </c>
      <c r="N29" s="10" t="s">
        <v>172</v>
      </c>
      <c r="O29" s="10" t="s">
        <v>172</v>
      </c>
      <c r="P29" s="10" t="s">
        <v>172</v>
      </c>
      <c r="Q29" s="10" t="s">
        <v>172</v>
      </c>
      <c r="R29" s="10" t="s">
        <v>172</v>
      </c>
      <c r="S29" s="10" t="s">
        <v>172</v>
      </c>
      <c r="T29" s="10" t="s">
        <v>172</v>
      </c>
      <c r="U29" s="11" t="s">
        <v>172</v>
      </c>
      <c r="V29" s="300"/>
    </row>
    <row r="30" spans="2:22" ht="22.2" customHeight="1">
      <c r="B30" s="48" t="s">
        <v>173</v>
      </c>
      <c r="C30" s="49" t="e">
        <f t="shared" ref="C30:U31" si="2">C51+C54</f>
        <v>#DIV/0!</v>
      </c>
      <c r="D30" s="50" t="e">
        <f t="shared" si="2"/>
        <v>#DIV/0!</v>
      </c>
      <c r="E30" s="50" t="e">
        <f t="shared" si="2"/>
        <v>#DIV/0!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50">
        <f t="shared" si="2"/>
        <v>0</v>
      </c>
      <c r="U30" s="51">
        <f t="shared" si="2"/>
        <v>0</v>
      </c>
      <c r="V30" s="52" t="e">
        <f t="shared" ref="V30:V35" si="3">SUM(C30:U30)</f>
        <v>#DIV/0!</v>
      </c>
    </row>
    <row r="31" spans="2:22" ht="22.2" customHeight="1">
      <c r="B31" s="53" t="s">
        <v>174</v>
      </c>
      <c r="C31" s="54" t="e">
        <f t="shared" si="2"/>
        <v>#DIV/0!</v>
      </c>
      <c r="D31" s="54" t="e">
        <f t="shared" si="2"/>
        <v>#DIV/0!</v>
      </c>
      <c r="E31" s="54" t="e">
        <f t="shared" si="2"/>
        <v>#DIV/0!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>J52+J55</f>
        <v>0</v>
      </c>
      <c r="K31" s="54">
        <f>K52+K55</f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5">
        <f t="shared" si="2"/>
        <v>0</v>
      </c>
      <c r="V31" s="56" t="e">
        <f t="shared" si="3"/>
        <v>#DIV/0!</v>
      </c>
    </row>
    <row r="32" spans="2:22" ht="22.2" customHeight="1">
      <c r="B32" s="48" t="s">
        <v>175</v>
      </c>
      <c r="C32" s="49"/>
      <c r="D32" s="50">
        <f t="shared" ref="D32:N32" si="4">D62</f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O62</f>
        <v>0</v>
      </c>
      <c r="P32" s="50">
        <f t="shared" ref="P32:U32" si="5">P62</f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51">
        <f t="shared" si="5"/>
        <v>0</v>
      </c>
      <c r="V32" s="52">
        <f t="shared" si="3"/>
        <v>0</v>
      </c>
    </row>
    <row r="33" spans="1:34" ht="22.2" customHeight="1">
      <c r="B33" s="53" t="s">
        <v>176</v>
      </c>
      <c r="C33" s="57"/>
      <c r="D33" s="54">
        <f t="shared" ref="D33:N33" si="6">D32*$E$106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>INT(O32*$E$106)</f>
        <v>0</v>
      </c>
      <c r="P33" s="54">
        <f t="shared" ref="P33:U33" si="7">P32*$E$106</f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5">
        <f t="shared" si="7"/>
        <v>0</v>
      </c>
      <c r="V33" s="56">
        <f t="shared" si="3"/>
        <v>0</v>
      </c>
    </row>
    <row r="34" spans="1:34" ht="36" customHeight="1">
      <c r="B34" s="58" t="s">
        <v>177</v>
      </c>
      <c r="C34" s="59">
        <f t="shared" ref="C34:U34" si="8">IF($D$13=6,0,IF($D$13=7,0,(C53+C56)))</f>
        <v>0</v>
      </c>
      <c r="D34" s="60">
        <f t="shared" si="8"/>
        <v>0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 t="shared" si="8"/>
        <v>#DIV/0!</v>
      </c>
      <c r="O34" s="60" t="e">
        <f t="shared" si="8"/>
        <v>#DIV/0!</v>
      </c>
      <c r="P34" s="60" t="e">
        <f t="shared" si="8"/>
        <v>#DIV/0!</v>
      </c>
      <c r="Q34" s="60" t="e">
        <f t="shared" si="8"/>
        <v>#DIV/0!</v>
      </c>
      <c r="R34" s="60" t="e">
        <f t="shared" si="8"/>
        <v>#DIV/0!</v>
      </c>
      <c r="S34" s="60" t="e">
        <f t="shared" si="8"/>
        <v>#DIV/0!</v>
      </c>
      <c r="T34" s="60" t="e">
        <f t="shared" si="8"/>
        <v>#DIV/0!</v>
      </c>
      <c r="U34" s="61" t="e">
        <f t="shared" si="8"/>
        <v>#DIV/0!</v>
      </c>
      <c r="V34" s="62" t="e">
        <f t="shared" si="3"/>
        <v>#DIV/0!</v>
      </c>
    </row>
    <row r="35" spans="1:34" ht="22.2" customHeight="1">
      <c r="B35" s="63" t="s">
        <v>178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3"/>
        <v>0</v>
      </c>
    </row>
    <row r="36" spans="1:34" ht="25.2" customHeight="1">
      <c r="B36" s="65" t="s">
        <v>179</v>
      </c>
      <c r="C36" s="66" t="e">
        <f t="shared" ref="C36:V36" si="9">SUM(C30:C35)</f>
        <v>#DIV/0!</v>
      </c>
      <c r="D36" s="67" t="e">
        <f t="shared" si="9"/>
        <v>#DIV/0!</v>
      </c>
      <c r="E36" s="67" t="e">
        <f t="shared" si="9"/>
        <v>#DIV/0!</v>
      </c>
      <c r="F36" s="67" t="e">
        <f t="shared" si="9"/>
        <v>#DIV/0!</v>
      </c>
      <c r="G36" s="67" t="e">
        <f t="shared" si="9"/>
        <v>#DIV/0!</v>
      </c>
      <c r="H36" s="67" t="e">
        <f t="shared" si="9"/>
        <v>#DIV/0!</v>
      </c>
      <c r="I36" s="67" t="e">
        <f t="shared" si="9"/>
        <v>#DIV/0!</v>
      </c>
      <c r="J36" s="67" t="e">
        <f t="shared" si="9"/>
        <v>#DIV/0!</v>
      </c>
      <c r="K36" s="67" t="e">
        <f t="shared" si="9"/>
        <v>#DIV/0!</v>
      </c>
      <c r="L36" s="67" t="e">
        <f t="shared" si="9"/>
        <v>#DIV/0!</v>
      </c>
      <c r="M36" s="67" t="e">
        <f t="shared" si="9"/>
        <v>#DIV/0!</v>
      </c>
      <c r="N36" s="67" t="e">
        <f t="shared" si="9"/>
        <v>#DIV/0!</v>
      </c>
      <c r="O36" s="67" t="e">
        <f t="shared" si="9"/>
        <v>#DIV/0!</v>
      </c>
      <c r="P36" s="67" t="e">
        <f t="shared" si="9"/>
        <v>#DIV/0!</v>
      </c>
      <c r="Q36" s="67" t="e">
        <f t="shared" si="9"/>
        <v>#DIV/0!</v>
      </c>
      <c r="R36" s="67" t="e">
        <f t="shared" si="9"/>
        <v>#DIV/0!</v>
      </c>
      <c r="S36" s="67" t="e">
        <f t="shared" si="9"/>
        <v>#DIV/0!</v>
      </c>
      <c r="T36" s="67" t="e">
        <f t="shared" si="9"/>
        <v>#DIV/0!</v>
      </c>
      <c r="U36" s="68" t="e">
        <f t="shared" si="9"/>
        <v>#DIV/0!</v>
      </c>
      <c r="V36" s="62" t="e">
        <f t="shared" si="9"/>
        <v>#DIV/0!</v>
      </c>
    </row>
    <row r="37" spans="1:34" ht="18.600000000000001" customHeight="1"/>
    <row r="38" spans="1:34" ht="17.399999999999999" customHeight="1">
      <c r="B38" s="69" t="s">
        <v>180</v>
      </c>
      <c r="E38" s="70"/>
      <c r="I38" s="71" t="s">
        <v>181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1"/>
      <c r="B39" s="74" t="s">
        <v>182</v>
      </c>
      <c r="C39" s="75">
        <f>IF(DATEVALUE("2018/3/31")&lt;$D$12,INT(D9*(1+$E$106)),D9)</f>
        <v>0</v>
      </c>
      <c r="D39" s="76">
        <f>IF(AND(D48=0,D59=0),(C39-(C30+C31)),IF(AND(D48=1,D59=1),(C39-(C30+C31)),0))</f>
        <v>0</v>
      </c>
      <c r="E39" s="76">
        <f>IF(AND(E48=0,E59=0),(D39-(D30+D31)),IF(AND(E48=1,E59=1),(D39-(D30+D31)),0))</f>
        <v>0</v>
      </c>
      <c r="F39" s="76">
        <f t="shared" ref="F39:U39" si="10">IF(AND(F48=0,F59=0),(E39-(E30+E31)),IF(AND(F48=1,F59=1),(E39-(E30+E31)),0))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6">
        <f t="shared" si="10"/>
        <v>0</v>
      </c>
      <c r="P39" s="76">
        <f t="shared" si="10"/>
        <v>0</v>
      </c>
      <c r="Q39" s="76">
        <f t="shared" si="10"/>
        <v>0</v>
      </c>
      <c r="R39" s="76">
        <f t="shared" si="10"/>
        <v>0</v>
      </c>
      <c r="S39" s="76">
        <f t="shared" si="10"/>
        <v>0</v>
      </c>
      <c r="T39" s="76">
        <f t="shared" si="10"/>
        <v>0</v>
      </c>
      <c r="U39" s="76">
        <f t="shared" si="10"/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1">IF(C39&gt;$F$114,$F$114,C39)</f>
        <v>0</v>
      </c>
      <c r="D40" s="81">
        <f t="shared" si="11"/>
        <v>0</v>
      </c>
      <c r="E40" s="81">
        <f t="shared" si="11"/>
        <v>0</v>
      </c>
      <c r="F40" s="81">
        <f t="shared" si="11"/>
        <v>0</v>
      </c>
      <c r="G40" s="81">
        <f t="shared" si="11"/>
        <v>0</v>
      </c>
      <c r="H40" s="81">
        <f t="shared" si="11"/>
        <v>0</v>
      </c>
      <c r="I40" s="81">
        <f t="shared" si="11"/>
        <v>0</v>
      </c>
      <c r="J40" s="81">
        <f t="shared" si="11"/>
        <v>0</v>
      </c>
      <c r="K40" s="81">
        <f t="shared" si="11"/>
        <v>0</v>
      </c>
      <c r="L40" s="81">
        <f t="shared" si="11"/>
        <v>0</v>
      </c>
      <c r="M40" s="81">
        <f t="shared" si="11"/>
        <v>0</v>
      </c>
      <c r="N40" s="81">
        <f t="shared" si="11"/>
        <v>0</v>
      </c>
      <c r="O40" s="81">
        <f t="shared" si="11"/>
        <v>0</v>
      </c>
      <c r="P40" s="81">
        <f t="shared" si="11"/>
        <v>0</v>
      </c>
      <c r="Q40" s="81">
        <f t="shared" si="11"/>
        <v>0</v>
      </c>
      <c r="R40" s="82">
        <f t="shared" si="11"/>
        <v>0</v>
      </c>
      <c r="S40" s="83">
        <f t="shared" si="11"/>
        <v>0</v>
      </c>
      <c r="T40" s="83">
        <f t="shared" si="11"/>
        <v>0</v>
      </c>
      <c r="U40" s="84">
        <f t="shared" si="11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0</v>
      </c>
      <c r="D41" s="87">
        <f>IF(AND(D48=0,D59=0),INT(ROUNDDOWN(D40*0.0048/12,2)*6),IF(AND(D48=1,D59=1),INT(ROUNDDOWN((ROUNDDOWN(D40*0.0048/12,2))*6,0)*$E$65),0))</f>
        <v>0</v>
      </c>
      <c r="E41" s="87">
        <f t="shared" ref="E41:U41" si="12">IF(AND(E48=0,E59=0),INT(ROUNDDOWN(E40*0.0048/12,2)*6),IF(AND(E48=1,E59=1),INT(ROUNDDOWN((ROUNDDOWN(E40*0.0048/12,2))*6,0)*$E$65),0))</f>
        <v>0</v>
      </c>
      <c r="F41" s="87">
        <f t="shared" si="12"/>
        <v>0</v>
      </c>
      <c r="G41" s="87">
        <f t="shared" si="12"/>
        <v>0</v>
      </c>
      <c r="H41" s="87">
        <f t="shared" si="12"/>
        <v>0</v>
      </c>
      <c r="I41" s="87">
        <f t="shared" si="12"/>
        <v>0</v>
      </c>
      <c r="J41" s="87">
        <f t="shared" si="12"/>
        <v>0</v>
      </c>
      <c r="K41" s="87">
        <f t="shared" si="12"/>
        <v>0</v>
      </c>
      <c r="L41" s="87">
        <f t="shared" si="12"/>
        <v>0</v>
      </c>
      <c r="M41" s="87">
        <f t="shared" si="12"/>
        <v>0</v>
      </c>
      <c r="N41" s="87">
        <f t="shared" si="12"/>
        <v>0</v>
      </c>
      <c r="O41" s="87">
        <f t="shared" si="12"/>
        <v>0</v>
      </c>
      <c r="P41" s="87">
        <f t="shared" si="12"/>
        <v>0</v>
      </c>
      <c r="Q41" s="87">
        <f t="shared" si="12"/>
        <v>0</v>
      </c>
      <c r="R41" s="88">
        <f t="shared" si="12"/>
        <v>0</v>
      </c>
      <c r="S41" s="89">
        <f t="shared" si="12"/>
        <v>0</v>
      </c>
      <c r="T41" s="89">
        <f t="shared" si="12"/>
        <v>0</v>
      </c>
      <c r="U41" s="90">
        <f t="shared" si="12"/>
        <v>0</v>
      </c>
      <c r="V41" s="91">
        <f>SUM(C41:U41)</f>
        <v>0</v>
      </c>
    </row>
    <row r="42" spans="1:34" ht="24">
      <c r="A42" s="78"/>
      <c r="B42" s="92" t="s">
        <v>186</v>
      </c>
      <c r="C42" s="93">
        <f>IF(C39*0.95&gt;$F$114,$F$114,C39*0.95)</f>
        <v>0</v>
      </c>
      <c r="D42" s="94">
        <f>IF(D39*0.95&gt;$F$114,$F$114,D39*0.95)</f>
        <v>0</v>
      </c>
      <c r="E42" s="94">
        <f t="shared" ref="E42:U42" si="13">IF(E39*0.95&gt;$F$114,$F$114,E39*0.95)</f>
        <v>0</v>
      </c>
      <c r="F42" s="94">
        <f t="shared" si="13"/>
        <v>0</v>
      </c>
      <c r="G42" s="94">
        <f t="shared" si="13"/>
        <v>0</v>
      </c>
      <c r="H42" s="94">
        <f t="shared" si="13"/>
        <v>0</v>
      </c>
      <c r="I42" s="94">
        <f t="shared" si="13"/>
        <v>0</v>
      </c>
      <c r="J42" s="94">
        <f t="shared" si="13"/>
        <v>0</v>
      </c>
      <c r="K42" s="94">
        <f t="shared" si="13"/>
        <v>0</v>
      </c>
      <c r="L42" s="94">
        <f t="shared" si="13"/>
        <v>0</v>
      </c>
      <c r="M42" s="94">
        <f t="shared" si="13"/>
        <v>0</v>
      </c>
      <c r="N42" s="94">
        <f t="shared" si="13"/>
        <v>0</v>
      </c>
      <c r="O42" s="94">
        <f t="shared" si="13"/>
        <v>0</v>
      </c>
      <c r="P42" s="94">
        <f t="shared" si="13"/>
        <v>0</v>
      </c>
      <c r="Q42" s="94">
        <f t="shared" si="13"/>
        <v>0</v>
      </c>
      <c r="R42" s="95">
        <f t="shared" si="13"/>
        <v>0</v>
      </c>
      <c r="S42" s="96">
        <f t="shared" si="13"/>
        <v>0</v>
      </c>
      <c r="T42" s="96">
        <f t="shared" si="13"/>
        <v>0</v>
      </c>
      <c r="U42" s="97">
        <f t="shared" si="13"/>
        <v>0</v>
      </c>
      <c r="V42" s="62"/>
    </row>
    <row r="43" spans="1:34" ht="13.8" thickBot="1"/>
    <row r="44" spans="1:34" ht="16.8" thickBot="1">
      <c r="A44" s="98"/>
      <c r="B44" s="99" t="s">
        <v>47</v>
      </c>
      <c r="C44" s="100">
        <f>K106</f>
        <v>0.01</v>
      </c>
      <c r="R44" s="303" t="s">
        <v>62</v>
      </c>
      <c r="S44" s="303"/>
      <c r="T44" s="303"/>
      <c r="U44" s="303"/>
      <c r="V44" s="101" t="e">
        <f>V30+V32</f>
        <v>#DIV/0!</v>
      </c>
      <c r="W44" s="102" t="e">
        <f>IF(V44=D9,"OK","エラー")</f>
        <v>#DIV/0!</v>
      </c>
    </row>
    <row r="45" spans="1:34" ht="13.8" thickBot="1">
      <c r="A45" s="103">
        <f>MONTH(D12)</f>
        <v>1</v>
      </c>
      <c r="B45" s="14" t="s">
        <v>0</v>
      </c>
    </row>
    <row r="46" spans="1:34">
      <c r="A46" s="232"/>
    </row>
    <row r="47" spans="1:34">
      <c r="B47" s="14" t="s">
        <v>189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190</v>
      </c>
      <c r="C48" s="104">
        <f t="shared" ref="C48:U48" si="14">IF((IF($D$11&gt;$G$114,$G$114,$D$11)*2)&lt;C47,1,0)</f>
        <v>1</v>
      </c>
      <c r="D48" s="104">
        <f t="shared" si="14"/>
        <v>1</v>
      </c>
      <c r="E48" s="104">
        <f t="shared" si="14"/>
        <v>1</v>
      </c>
      <c r="F48" s="104">
        <f t="shared" si="14"/>
        <v>1</v>
      </c>
      <c r="G48" s="104">
        <f t="shared" si="14"/>
        <v>1</v>
      </c>
      <c r="H48" s="104">
        <f t="shared" si="14"/>
        <v>1</v>
      </c>
      <c r="I48" s="104">
        <f t="shared" si="14"/>
        <v>1</v>
      </c>
      <c r="J48" s="104">
        <f t="shared" si="14"/>
        <v>1</v>
      </c>
      <c r="K48" s="104">
        <f t="shared" si="14"/>
        <v>1</v>
      </c>
      <c r="L48" s="104">
        <f t="shared" si="14"/>
        <v>1</v>
      </c>
      <c r="M48" s="104">
        <f t="shared" si="14"/>
        <v>1</v>
      </c>
      <c r="N48" s="104">
        <f t="shared" si="14"/>
        <v>1</v>
      </c>
      <c r="O48" s="104">
        <f t="shared" si="14"/>
        <v>1</v>
      </c>
      <c r="P48" s="104">
        <f t="shared" si="14"/>
        <v>1</v>
      </c>
      <c r="Q48" s="104">
        <f t="shared" si="14"/>
        <v>1</v>
      </c>
      <c r="R48" s="104">
        <f t="shared" si="14"/>
        <v>1</v>
      </c>
      <c r="S48" s="104">
        <f t="shared" si="14"/>
        <v>1</v>
      </c>
      <c r="T48" s="104">
        <f t="shared" si="14"/>
        <v>1</v>
      </c>
      <c r="U48" s="104">
        <f t="shared" si="14"/>
        <v>1</v>
      </c>
      <c r="V48" s="104">
        <f t="shared" ref="V48" si="15">IF((IF($D$8&gt;9,9,$D$8)*2)&lt;V47,1,0)</f>
        <v>0</v>
      </c>
      <c r="W48" s="104">
        <f t="shared" ref="W48:AG48" si="16">IF((IF($D$8&gt;9,9,$D$8)*2)&lt;W47,1,0)</f>
        <v>0</v>
      </c>
      <c r="X48" s="104">
        <f t="shared" si="16"/>
        <v>0</v>
      </c>
      <c r="Y48" s="104">
        <f t="shared" si="16"/>
        <v>0</v>
      </c>
      <c r="Z48" s="104">
        <f t="shared" si="16"/>
        <v>0</v>
      </c>
      <c r="AA48" s="104">
        <f t="shared" si="16"/>
        <v>0</v>
      </c>
      <c r="AB48" s="104">
        <f t="shared" si="16"/>
        <v>0</v>
      </c>
      <c r="AC48" s="104">
        <f t="shared" si="16"/>
        <v>0</v>
      </c>
      <c r="AD48" s="104">
        <f t="shared" si="16"/>
        <v>0</v>
      </c>
      <c r="AE48" s="104">
        <f t="shared" si="16"/>
        <v>0</v>
      </c>
      <c r="AF48" s="104">
        <f t="shared" si="16"/>
        <v>0</v>
      </c>
      <c r="AG48" s="104">
        <f t="shared" si="16"/>
        <v>0</v>
      </c>
      <c r="AH48" s="104" t="s">
        <v>97</v>
      </c>
    </row>
    <row r="49" spans="1:29">
      <c r="B49" s="14" t="s">
        <v>192</v>
      </c>
      <c r="C49" s="14">
        <f>IF($D$11*2&lt;C47,1,0)</f>
        <v>1</v>
      </c>
      <c r="D49" s="14">
        <f>IF($D$11*2&lt;D47,1,0)</f>
        <v>1</v>
      </c>
      <c r="E49" s="14">
        <f>IF($D$11*2&lt;E47,1,0)</f>
        <v>1</v>
      </c>
      <c r="F49" s="105">
        <f>IF($D$11*2&lt;F47,1,0)</f>
        <v>1</v>
      </c>
      <c r="G49" s="105">
        <f t="shared" ref="G49:U49" si="17">IF($D$11*2&lt;G47,1,0)</f>
        <v>1</v>
      </c>
      <c r="H49" s="105">
        <f t="shared" si="17"/>
        <v>1</v>
      </c>
      <c r="I49" s="105">
        <f t="shared" si="17"/>
        <v>1</v>
      </c>
      <c r="J49" s="105">
        <f t="shared" si="17"/>
        <v>1</v>
      </c>
      <c r="K49" s="105">
        <f t="shared" si="17"/>
        <v>1</v>
      </c>
      <c r="L49" s="105">
        <f t="shared" si="17"/>
        <v>1</v>
      </c>
      <c r="M49" s="105">
        <f t="shared" si="17"/>
        <v>1</v>
      </c>
      <c r="N49" s="105">
        <f t="shared" si="17"/>
        <v>1</v>
      </c>
      <c r="O49" s="105">
        <f t="shared" si="17"/>
        <v>1</v>
      </c>
      <c r="P49" s="105">
        <f t="shared" si="17"/>
        <v>1</v>
      </c>
      <c r="Q49" s="105">
        <f t="shared" si="17"/>
        <v>1</v>
      </c>
      <c r="R49" s="105">
        <f t="shared" si="17"/>
        <v>1</v>
      </c>
      <c r="S49" s="105">
        <f t="shared" si="17"/>
        <v>1</v>
      </c>
      <c r="T49" s="105">
        <f t="shared" si="17"/>
        <v>1</v>
      </c>
      <c r="U49" s="105">
        <f t="shared" si="17"/>
        <v>1</v>
      </c>
      <c r="V49" s="14" t="s">
        <v>191</v>
      </c>
    </row>
    <row r="50" spans="1:29">
      <c r="A50" s="106" t="s">
        <v>26</v>
      </c>
      <c r="B50" s="107" t="s">
        <v>193</v>
      </c>
      <c r="C50" s="107"/>
      <c r="D50" s="107" t="e">
        <f>C51</f>
        <v>#DIV/0!</v>
      </c>
      <c r="E50" s="107">
        <f>IF(E49=1,0,SUM($C$51:D51))</f>
        <v>0</v>
      </c>
      <c r="F50" s="107">
        <f>IF(F49=1,0,SUM($C$51:E51))</f>
        <v>0</v>
      </c>
      <c r="G50" s="107">
        <f>IF(G49=1,0,SUM($C$51:F51))</f>
        <v>0</v>
      </c>
      <c r="H50" s="107">
        <f>IF(H49=1,0,SUM($C$51:G51))</f>
        <v>0</v>
      </c>
      <c r="I50" s="107">
        <f>IF(I49=1,0,SUM(C51:H51))</f>
        <v>0</v>
      </c>
      <c r="J50" s="107">
        <f>IF(J49=1,0,SUM(C51:I51))</f>
        <v>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193</v>
      </c>
    </row>
    <row r="51" spans="1:29">
      <c r="A51" s="106">
        <f>INT(D9*F10)</f>
        <v>0</v>
      </c>
      <c r="B51" s="107" t="s">
        <v>194</v>
      </c>
      <c r="C51" s="108" t="e">
        <f>(D9)-(SUM(D51:U51)+SUM(D54:U54)+A51)</f>
        <v>#DIV/0!</v>
      </c>
      <c r="D51" s="108" t="e">
        <f>INT((D9-A51)/(D11*2))</f>
        <v>#DIV/0!</v>
      </c>
      <c r="E51" s="108">
        <f t="shared" ref="E51:T51" si="18">IF(E49=1,0,D51)</f>
        <v>0</v>
      </c>
      <c r="F51" s="108">
        <f t="shared" si="18"/>
        <v>0</v>
      </c>
      <c r="G51" s="108">
        <f t="shared" si="18"/>
        <v>0</v>
      </c>
      <c r="H51" s="108">
        <f t="shared" si="18"/>
        <v>0</v>
      </c>
      <c r="I51" s="108">
        <f t="shared" si="18"/>
        <v>0</v>
      </c>
      <c r="J51" s="108">
        <f t="shared" si="18"/>
        <v>0</v>
      </c>
      <c r="K51" s="108">
        <f t="shared" si="18"/>
        <v>0</v>
      </c>
      <c r="L51" s="108">
        <f t="shared" si="18"/>
        <v>0</v>
      </c>
      <c r="M51" s="108">
        <f t="shared" si="18"/>
        <v>0</v>
      </c>
      <c r="N51" s="108">
        <f t="shared" si="18"/>
        <v>0</v>
      </c>
      <c r="O51" s="108">
        <f t="shared" si="18"/>
        <v>0</v>
      </c>
      <c r="P51" s="108">
        <f t="shared" si="18"/>
        <v>0</v>
      </c>
      <c r="Q51" s="108">
        <f t="shared" si="18"/>
        <v>0</v>
      </c>
      <c r="R51" s="108">
        <f t="shared" si="18"/>
        <v>0</v>
      </c>
      <c r="S51" s="108">
        <f t="shared" si="18"/>
        <v>0</v>
      </c>
      <c r="T51" s="108">
        <f t="shared" si="18"/>
        <v>0</v>
      </c>
      <c r="U51" s="108"/>
      <c r="V51" s="14" t="s">
        <v>195</v>
      </c>
    </row>
    <row r="52" spans="1:29">
      <c r="B52" s="107" t="s">
        <v>196</v>
      </c>
      <c r="C52" s="108" t="e">
        <f>INT((D9-A51)*E106)-SUM(D52:T52)-SUM(D55:U55)</f>
        <v>#DIV/0!</v>
      </c>
      <c r="D52" s="108" t="e">
        <f t="shared" ref="D52" si="19">INT(D51*$E$106)</f>
        <v>#DIV/0!</v>
      </c>
      <c r="E52" s="108">
        <f>INT(E51*$E$106)</f>
        <v>0</v>
      </c>
      <c r="F52" s="108">
        <f t="shared" ref="F52:U52" si="20">INT(F51*$E$106)</f>
        <v>0</v>
      </c>
      <c r="G52" s="108">
        <f t="shared" si="20"/>
        <v>0</v>
      </c>
      <c r="H52" s="108">
        <f t="shared" si="20"/>
        <v>0</v>
      </c>
      <c r="I52" s="108">
        <f t="shared" si="20"/>
        <v>0</v>
      </c>
      <c r="J52" s="108">
        <f t="shared" si="20"/>
        <v>0</v>
      </c>
      <c r="K52" s="108">
        <f t="shared" si="20"/>
        <v>0</v>
      </c>
      <c r="L52" s="108">
        <f t="shared" si="20"/>
        <v>0</v>
      </c>
      <c r="M52" s="108">
        <f t="shared" si="20"/>
        <v>0</v>
      </c>
      <c r="N52" s="108">
        <f t="shared" si="20"/>
        <v>0</v>
      </c>
      <c r="O52" s="108">
        <f t="shared" si="20"/>
        <v>0</v>
      </c>
      <c r="P52" s="108">
        <f t="shared" si="20"/>
        <v>0</v>
      </c>
      <c r="Q52" s="108">
        <f t="shared" si="20"/>
        <v>0</v>
      </c>
      <c r="R52" s="108">
        <f t="shared" si="20"/>
        <v>0</v>
      </c>
      <c r="S52" s="108">
        <f t="shared" si="20"/>
        <v>0</v>
      </c>
      <c r="T52" s="108">
        <f t="shared" si="20"/>
        <v>0</v>
      </c>
      <c r="U52" s="108">
        <f t="shared" si="20"/>
        <v>0</v>
      </c>
      <c r="V52" s="14" t="s">
        <v>197</v>
      </c>
    </row>
    <row r="53" spans="1:29">
      <c r="B53" s="107" t="s">
        <v>198</v>
      </c>
      <c r="C53" s="108">
        <f>INT(D9*(C44)/2*D65)</f>
        <v>0</v>
      </c>
      <c r="D53" s="108">
        <f t="shared" ref="D53:U53" si="21">INT(IF(D49=1,0,($D$9-D50)*($C$44)/2))</f>
        <v>0</v>
      </c>
      <c r="E53" s="108">
        <f t="shared" si="21"/>
        <v>0</v>
      </c>
      <c r="F53" s="108">
        <f t="shared" si="21"/>
        <v>0</v>
      </c>
      <c r="G53" s="108">
        <f t="shared" si="21"/>
        <v>0</v>
      </c>
      <c r="H53" s="108">
        <f t="shared" si="21"/>
        <v>0</v>
      </c>
      <c r="I53" s="108">
        <f t="shared" si="21"/>
        <v>0</v>
      </c>
      <c r="J53" s="108">
        <f t="shared" si="21"/>
        <v>0</v>
      </c>
      <c r="K53" s="108">
        <f t="shared" si="21"/>
        <v>0</v>
      </c>
      <c r="L53" s="108">
        <f t="shared" si="21"/>
        <v>0</v>
      </c>
      <c r="M53" s="108">
        <f t="shared" si="21"/>
        <v>0</v>
      </c>
      <c r="N53" s="108">
        <f t="shared" si="21"/>
        <v>0</v>
      </c>
      <c r="O53" s="108">
        <f t="shared" si="21"/>
        <v>0</v>
      </c>
      <c r="P53" s="108">
        <f t="shared" si="21"/>
        <v>0</v>
      </c>
      <c r="Q53" s="108">
        <f t="shared" si="21"/>
        <v>0</v>
      </c>
      <c r="R53" s="108">
        <f t="shared" si="21"/>
        <v>0</v>
      </c>
      <c r="S53" s="108">
        <f t="shared" si="21"/>
        <v>0</v>
      </c>
      <c r="T53" s="108">
        <f t="shared" si="21"/>
        <v>0</v>
      </c>
      <c r="U53" s="108">
        <f t="shared" si="21"/>
        <v>0</v>
      </c>
      <c r="V53" s="14" t="s">
        <v>198</v>
      </c>
    </row>
    <row r="54" spans="1:29">
      <c r="A54" s="109"/>
      <c r="B54" s="107" t="s">
        <v>199</v>
      </c>
      <c r="C54" s="110"/>
      <c r="D54" s="110"/>
      <c r="E54" s="111" t="e">
        <f t="shared" ref="E54:U54" si="22">INT(E60*$E$65*D51)</f>
        <v>#DIV/0!</v>
      </c>
      <c r="F54" s="111">
        <f t="shared" si="22"/>
        <v>0</v>
      </c>
      <c r="G54" s="111">
        <f t="shared" si="22"/>
        <v>0</v>
      </c>
      <c r="H54" s="111">
        <f t="shared" si="22"/>
        <v>0</v>
      </c>
      <c r="I54" s="111">
        <f t="shared" si="22"/>
        <v>0</v>
      </c>
      <c r="J54" s="111">
        <f t="shared" si="22"/>
        <v>0</v>
      </c>
      <c r="K54" s="111">
        <f t="shared" si="22"/>
        <v>0</v>
      </c>
      <c r="L54" s="111">
        <f t="shared" si="22"/>
        <v>0</v>
      </c>
      <c r="M54" s="111">
        <f t="shared" si="22"/>
        <v>0</v>
      </c>
      <c r="N54" s="111">
        <f t="shared" si="22"/>
        <v>0</v>
      </c>
      <c r="O54" s="111">
        <f t="shared" si="22"/>
        <v>0</v>
      </c>
      <c r="P54" s="111">
        <f t="shared" si="22"/>
        <v>0</v>
      </c>
      <c r="Q54" s="111">
        <f t="shared" si="22"/>
        <v>0</v>
      </c>
      <c r="R54" s="111">
        <f t="shared" si="22"/>
        <v>0</v>
      </c>
      <c r="S54" s="111">
        <f t="shared" si="22"/>
        <v>0</v>
      </c>
      <c r="T54" s="111">
        <f t="shared" si="22"/>
        <v>0</v>
      </c>
      <c r="U54" s="111">
        <f t="shared" si="22"/>
        <v>0</v>
      </c>
      <c r="V54" s="14" t="s">
        <v>199</v>
      </c>
    </row>
    <row r="55" spans="1:29">
      <c r="A55" s="112"/>
      <c r="B55" s="107" t="s">
        <v>197</v>
      </c>
      <c r="C55" s="107">
        <f t="shared" ref="C55:U55" si="23">INT(C54*$E$106)</f>
        <v>0</v>
      </c>
      <c r="D55" s="107">
        <f t="shared" si="23"/>
        <v>0</v>
      </c>
      <c r="E55" s="107" t="e">
        <f t="shared" si="23"/>
        <v>#DIV/0!</v>
      </c>
      <c r="F55" s="107">
        <f t="shared" si="23"/>
        <v>0</v>
      </c>
      <c r="G55" s="107">
        <f t="shared" si="23"/>
        <v>0</v>
      </c>
      <c r="H55" s="107">
        <f t="shared" si="23"/>
        <v>0</v>
      </c>
      <c r="I55" s="108">
        <f t="shared" si="23"/>
        <v>0</v>
      </c>
      <c r="J55" s="108">
        <f t="shared" si="23"/>
        <v>0</v>
      </c>
      <c r="K55" s="108">
        <f t="shared" si="23"/>
        <v>0</v>
      </c>
      <c r="L55" s="108">
        <f t="shared" si="23"/>
        <v>0</v>
      </c>
      <c r="M55" s="108">
        <f t="shared" si="23"/>
        <v>0</v>
      </c>
      <c r="N55" s="108">
        <f t="shared" si="23"/>
        <v>0</v>
      </c>
      <c r="O55" s="108">
        <f t="shared" si="23"/>
        <v>0</v>
      </c>
      <c r="P55" s="108">
        <f t="shared" si="23"/>
        <v>0</v>
      </c>
      <c r="Q55" s="108">
        <f t="shared" si="23"/>
        <v>0</v>
      </c>
      <c r="R55" s="108">
        <f t="shared" si="23"/>
        <v>0</v>
      </c>
      <c r="S55" s="108">
        <f t="shared" si="23"/>
        <v>0</v>
      </c>
      <c r="T55" s="108">
        <f t="shared" si="23"/>
        <v>0</v>
      </c>
      <c r="U55" s="108">
        <f t="shared" si="23"/>
        <v>0</v>
      </c>
      <c r="V55" s="14" t="s">
        <v>197</v>
      </c>
    </row>
    <row r="56" spans="1:29">
      <c r="A56" s="233"/>
      <c r="B56" s="107" t="s">
        <v>198</v>
      </c>
      <c r="C56" s="108"/>
      <c r="D56" s="107"/>
      <c r="E56" s="108" t="e">
        <f>INT((($D$9-SUM($C$51:D51))*($C$44)/2)*$E$65*E60)</f>
        <v>#DIV/0!</v>
      </c>
      <c r="F56" s="108" t="e">
        <f>INT((($D$9-SUM($C$51:E51))*($C$44)/2)*$E$65*F60)</f>
        <v>#DIV/0!</v>
      </c>
      <c r="G56" s="108" t="e">
        <f>INT((($D$9-SUM($C$51:F51))*($C$44)/2)*$E$65*G60)</f>
        <v>#DIV/0!</v>
      </c>
      <c r="H56" s="108" t="e">
        <f>INT((($D$9-SUM($C$51:G51))*($C$44)/2)*$E$65*H60)</f>
        <v>#DIV/0!</v>
      </c>
      <c r="I56" s="108" t="e">
        <f>INT((($D$9-SUM($C$51:H51))*($C$44)/2)*$E$65*I60)</f>
        <v>#DIV/0!</v>
      </c>
      <c r="J56" s="108" t="e">
        <f>INT((($D$9-SUM($C$51:I51))*($C$44)/2)*$E$65*J60)</f>
        <v>#DIV/0!</v>
      </c>
      <c r="K56" s="108" t="e">
        <f>INT((($D$9-SUM($C$51:J51))*($C$44)/2)*$E$65*K60)</f>
        <v>#DIV/0!</v>
      </c>
      <c r="L56" s="108" t="e">
        <f>INT((($D$9-SUM($C$51:K51))*($C$44)/2)*$E$65*L60)</f>
        <v>#DIV/0!</v>
      </c>
      <c r="M56" s="108" t="e">
        <f>INT((($D$9-SUM($C$51:L51))*($C$44)/2)*$E$65*M60)</f>
        <v>#DIV/0!</v>
      </c>
      <c r="N56" s="108" t="e">
        <f>INT((($D$9-SUM($C$51:M51))*($C$44)/2)*$E$65*N60)</f>
        <v>#DIV/0!</v>
      </c>
      <c r="O56" s="108" t="e">
        <f>INT((($D$9-SUM($C$51:N51))*($C$44)/2)*$E$65*O60)</f>
        <v>#DIV/0!</v>
      </c>
      <c r="P56" s="108" t="e">
        <f>INT((($D$9-SUM($C$51:O51))*($C$44)/2)*$E$65*P60)</f>
        <v>#DIV/0!</v>
      </c>
      <c r="Q56" s="108" t="e">
        <f>INT((($D$9-SUM($C$51:P51))*($C$44)/2)*$E$65*Q60)</f>
        <v>#DIV/0!</v>
      </c>
      <c r="R56" s="108" t="e">
        <f>INT((($D$9-SUM($C$51:Q51))*($C$44)/2)*$E$65*R60)</f>
        <v>#DIV/0!</v>
      </c>
      <c r="S56" s="113" t="e">
        <f>INT((($D$9-SUM($C$51:R51))*($C$44)/2)*$E$65*S60)</f>
        <v>#DIV/0!</v>
      </c>
      <c r="T56" s="108" t="e">
        <f>INT((($D$9-SUM($C$51:S51))*($C$44)/2)*$E$65*T60)</f>
        <v>#DIV/0!</v>
      </c>
      <c r="U56" s="108" t="e">
        <f>INT((($D$9-SUM($C$51:T51))*($C$44)/2)*$E$65*U60)</f>
        <v>#DIV/0!</v>
      </c>
      <c r="V56" s="14" t="s">
        <v>198</v>
      </c>
    </row>
    <row r="59" spans="1:29">
      <c r="B59" s="16" t="s">
        <v>200</v>
      </c>
      <c r="C59" s="15">
        <f>IF(C47=$I$64,IF($H$64=1,1,0),0)</f>
        <v>1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4">IF(F47=$I$64,IF($H$64=1,1,0),0)</f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4"/>
        <v>0</v>
      </c>
      <c r="L59" s="15">
        <f t="shared" si="24"/>
        <v>0</v>
      </c>
      <c r="M59" s="15">
        <f t="shared" si="24"/>
        <v>0</v>
      </c>
      <c r="N59" s="15">
        <f t="shared" si="24"/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5">
        <f t="shared" si="24"/>
        <v>0</v>
      </c>
      <c r="T59" s="15">
        <f t="shared" si="24"/>
        <v>0</v>
      </c>
      <c r="U59" s="15">
        <f t="shared" si="24"/>
        <v>0</v>
      </c>
      <c r="V59" s="78"/>
    </row>
    <row r="60" spans="1:29">
      <c r="B60" s="114" t="s">
        <v>201</v>
      </c>
      <c r="C60" s="115">
        <f t="shared" ref="C60:M60" si="25">IF(C47=$I$65,IF($H$65=1,1,0),0)</f>
        <v>1</v>
      </c>
      <c r="D60" s="115">
        <f t="shared" si="25"/>
        <v>0</v>
      </c>
      <c r="E60" s="115">
        <f t="shared" si="25"/>
        <v>0</v>
      </c>
      <c r="F60" s="115">
        <f t="shared" si="25"/>
        <v>0</v>
      </c>
      <c r="G60" s="115">
        <f t="shared" si="25"/>
        <v>0</v>
      </c>
      <c r="H60" s="115">
        <f t="shared" si="25"/>
        <v>0</v>
      </c>
      <c r="I60" s="115">
        <f t="shared" si="25"/>
        <v>0</v>
      </c>
      <c r="J60" s="115">
        <f t="shared" si="25"/>
        <v>0</v>
      </c>
      <c r="K60" s="115">
        <f t="shared" si="25"/>
        <v>0</v>
      </c>
      <c r="L60" s="115">
        <f t="shared" si="25"/>
        <v>0</v>
      </c>
      <c r="M60" s="115">
        <f t="shared" si="25"/>
        <v>0</v>
      </c>
      <c r="N60" s="115">
        <f>IF(N47=$I$65,IF($H$65=1,1,0),0)</f>
        <v>0</v>
      </c>
      <c r="O60" s="115">
        <f t="shared" ref="O60:U60" si="26">IF(O47=$I$65,IF($H$65=1,1,0),0)</f>
        <v>0</v>
      </c>
      <c r="P60" s="115">
        <f t="shared" si="26"/>
        <v>0</v>
      </c>
      <c r="Q60" s="115">
        <f t="shared" si="26"/>
        <v>0</v>
      </c>
      <c r="R60" s="115">
        <f t="shared" si="26"/>
        <v>0</v>
      </c>
      <c r="S60" s="115">
        <f t="shared" si="26"/>
        <v>0</v>
      </c>
      <c r="T60" s="115">
        <f t="shared" si="26"/>
        <v>0</v>
      </c>
      <c r="U60" s="115">
        <f t="shared" si="26"/>
        <v>0</v>
      </c>
      <c r="V60" s="78"/>
    </row>
    <row r="61" spans="1:29">
      <c r="A61" s="78"/>
      <c r="B61" s="116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78"/>
      <c r="Q61" s="78"/>
      <c r="R61" s="180"/>
    </row>
    <row r="62" spans="1:29">
      <c r="A62" s="78"/>
      <c r="B62" s="117" t="s">
        <v>175</v>
      </c>
      <c r="C62" s="114"/>
      <c r="D62" s="114">
        <f t="shared" ref="D62:P62" si="27">IF($H$65=1,$D$9*$F$10*D60,IF(D49=1,0,IF(E49=1,$D$9*$F$10,0)))</f>
        <v>0</v>
      </c>
      <c r="E62" s="114">
        <f t="shared" si="27"/>
        <v>0</v>
      </c>
      <c r="F62" s="114">
        <f t="shared" si="27"/>
        <v>0</v>
      </c>
      <c r="G62" s="114">
        <f t="shared" si="27"/>
        <v>0</v>
      </c>
      <c r="H62" s="114">
        <f t="shared" si="27"/>
        <v>0</v>
      </c>
      <c r="I62" s="114">
        <f t="shared" si="27"/>
        <v>0</v>
      </c>
      <c r="J62" s="114">
        <f t="shared" si="27"/>
        <v>0</v>
      </c>
      <c r="K62" s="114">
        <f t="shared" si="27"/>
        <v>0</v>
      </c>
      <c r="L62" s="114">
        <f t="shared" si="27"/>
        <v>0</v>
      </c>
      <c r="M62" s="114">
        <f t="shared" si="27"/>
        <v>0</v>
      </c>
      <c r="N62" s="114">
        <f t="shared" si="27"/>
        <v>0</v>
      </c>
      <c r="O62" s="114">
        <f t="shared" si="27"/>
        <v>0</v>
      </c>
      <c r="P62" s="114">
        <f t="shared" si="27"/>
        <v>0</v>
      </c>
      <c r="Q62" s="114">
        <f>IF($H$65=1,$D$9*$F$10*Q60,IF(Q49=1,0,IF(R49=1,$D$9*$F$10,0)))</f>
        <v>0</v>
      </c>
      <c r="R62" s="114">
        <f t="shared" ref="R62:U62" si="28">IF($H$65=1,$D$9*$F$10*R60,IF(R49=1,0,IF(S49=1,$D$9*$F$10,0)))</f>
        <v>0</v>
      </c>
      <c r="S62" s="114">
        <f t="shared" si="28"/>
        <v>0</v>
      </c>
      <c r="T62" s="114">
        <f t="shared" si="28"/>
        <v>0</v>
      </c>
      <c r="U62" s="114">
        <f t="shared" si="28"/>
        <v>0</v>
      </c>
    </row>
    <row r="63" spans="1:29">
      <c r="A63" s="78"/>
      <c r="B63" s="116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78"/>
      <c r="Q63" s="78"/>
    </row>
    <row r="64" spans="1:29">
      <c r="A64" s="78"/>
      <c r="B64" s="116"/>
      <c r="C64" s="221"/>
      <c r="D64" s="221"/>
      <c r="E64" s="304" t="s">
        <v>100</v>
      </c>
      <c r="F64" s="304"/>
      <c r="G64" s="304"/>
      <c r="H64" s="221">
        <f>VLOOKUP(A45,B86:E97,4)</f>
        <v>1</v>
      </c>
      <c r="I64" s="221">
        <f>IF(D11&gt;$G$114,$G$114,D11)*2+H64</f>
        <v>1</v>
      </c>
      <c r="J64" s="221"/>
      <c r="K64" s="221"/>
      <c r="L64" s="221"/>
      <c r="M64" s="221"/>
      <c r="N64" s="221"/>
      <c r="O64" s="221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1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</v>
      </c>
      <c r="J65" s="221"/>
      <c r="K65" s="221"/>
      <c r="L65" s="221"/>
      <c r="M65" s="221"/>
      <c r="N65" s="221"/>
      <c r="O65" s="221"/>
      <c r="P65" s="78"/>
      <c r="Q65" s="78"/>
    </row>
    <row r="66" spans="1:22">
      <c r="A66" s="78"/>
      <c r="B66" s="116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29">C39</f>
        <v>0</v>
      </c>
      <c r="H74" s="130">
        <f t="shared" si="29"/>
        <v>0</v>
      </c>
      <c r="I74" s="130">
        <f t="shared" si="29"/>
        <v>0</v>
      </c>
      <c r="J74" s="130">
        <f t="shared" si="29"/>
        <v>0</v>
      </c>
      <c r="K74" s="130">
        <f t="shared" si="29"/>
        <v>0</v>
      </c>
      <c r="L74" s="130">
        <f t="shared" si="29"/>
        <v>0</v>
      </c>
      <c r="M74" s="130">
        <f t="shared" si="29"/>
        <v>0</v>
      </c>
      <c r="N74" s="130">
        <f t="shared" si="29"/>
        <v>0</v>
      </c>
      <c r="O74" s="130">
        <f t="shared" si="29"/>
        <v>0</v>
      </c>
      <c r="P74" s="130">
        <f t="shared" si="29"/>
        <v>0</v>
      </c>
      <c r="Q74" s="130">
        <f t="shared" si="29"/>
        <v>0</v>
      </c>
      <c r="R74" s="130">
        <f t="shared" si="29"/>
        <v>0</v>
      </c>
      <c r="S74" s="130">
        <f t="shared" si="29"/>
        <v>0</v>
      </c>
      <c r="T74" s="130">
        <f t="shared" si="29"/>
        <v>0</v>
      </c>
      <c r="U74" s="130">
        <f t="shared" si="29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0">C41</f>
        <v>0</v>
      </c>
      <c r="H75" s="130">
        <f t="shared" si="30"/>
        <v>0</v>
      </c>
      <c r="I75" s="130">
        <f t="shared" si="30"/>
        <v>0</v>
      </c>
      <c r="J75" s="130">
        <f t="shared" si="30"/>
        <v>0</v>
      </c>
      <c r="K75" s="130">
        <f t="shared" si="30"/>
        <v>0</v>
      </c>
      <c r="L75" s="130">
        <f t="shared" si="30"/>
        <v>0</v>
      </c>
      <c r="M75" s="130">
        <f t="shared" si="30"/>
        <v>0</v>
      </c>
      <c r="N75" s="130">
        <f t="shared" si="30"/>
        <v>0</v>
      </c>
      <c r="O75" s="130">
        <f t="shared" si="30"/>
        <v>0</v>
      </c>
      <c r="P75" s="130">
        <f t="shared" si="30"/>
        <v>0</v>
      </c>
      <c r="Q75" s="130">
        <f t="shared" si="30"/>
        <v>0</v>
      </c>
      <c r="R75" s="130">
        <f t="shared" si="30"/>
        <v>0</v>
      </c>
      <c r="S75" s="130">
        <f t="shared" si="30"/>
        <v>0</v>
      </c>
      <c r="T75" s="130">
        <f t="shared" si="30"/>
        <v>0</v>
      </c>
      <c r="U75" s="130">
        <f t="shared" si="30"/>
        <v>0</v>
      </c>
      <c r="V75" s="130">
        <f>V41</f>
        <v>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1900</v>
      </c>
      <c r="C98" s="152">
        <f>MONTH(D12)</f>
        <v>1</v>
      </c>
      <c r="E98" s="14">
        <f>D11*2+VLOOKUP(MONTH(D12),B86:E97,4)</f>
        <v>1</v>
      </c>
    </row>
    <row r="99" spans="2:11">
      <c r="B99" s="14">
        <f>B98+VLOOKUP(C98,B86:D97,3)</f>
        <v>1900</v>
      </c>
      <c r="C99" s="14">
        <f>VLOOKUP(C98,B86:C97,2)</f>
        <v>3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0.05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0.01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0" t="s">
        <v>102</v>
      </c>
      <c r="D113" s="158" t="s">
        <v>127</v>
      </c>
      <c r="F113" s="220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1">C28</f>
        <v>61</v>
      </c>
      <c r="D122" s="159">
        <f t="shared" si="31"/>
        <v>245</v>
      </c>
      <c r="E122" s="159">
        <f t="shared" si="31"/>
        <v>426</v>
      </c>
      <c r="F122" s="159">
        <f t="shared" si="31"/>
        <v>610</v>
      </c>
      <c r="G122" s="159">
        <f t="shared" si="31"/>
        <v>791</v>
      </c>
      <c r="H122" s="159">
        <f t="shared" si="31"/>
        <v>975</v>
      </c>
      <c r="I122" s="159">
        <f t="shared" si="31"/>
        <v>1156</v>
      </c>
      <c r="J122" s="159">
        <f t="shared" si="31"/>
        <v>1340</v>
      </c>
      <c r="K122" s="159">
        <f t="shared" si="31"/>
        <v>1522</v>
      </c>
      <c r="L122" s="159">
        <f t="shared" si="31"/>
        <v>1706</v>
      </c>
      <c r="M122" s="159">
        <f t="shared" si="31"/>
        <v>1887</v>
      </c>
      <c r="N122" s="159">
        <f t="shared" si="31"/>
        <v>2071</v>
      </c>
      <c r="O122" s="159">
        <f t="shared" si="31"/>
        <v>2252</v>
      </c>
      <c r="P122" s="159">
        <f t="shared" si="31"/>
        <v>2436</v>
      </c>
      <c r="Q122" s="159">
        <f t="shared" si="31"/>
        <v>2617</v>
      </c>
      <c r="R122" s="159">
        <f t="shared" si="31"/>
        <v>2801</v>
      </c>
      <c r="S122" s="159">
        <f t="shared" si="31"/>
        <v>2983</v>
      </c>
      <c r="T122" s="159">
        <f t="shared" si="31"/>
        <v>3167</v>
      </c>
      <c r="U122" s="159">
        <f t="shared" si="31"/>
        <v>3348</v>
      </c>
    </row>
    <row r="123" spans="1:22">
      <c r="B123" s="163" t="s">
        <v>122</v>
      </c>
      <c r="C123" s="159" t="e">
        <f>EDATE(C122,-6)</f>
        <v>#NUM!</v>
      </c>
      <c r="D123" s="159">
        <f t="shared" ref="D123:U123" si="32">EDATE(D122,-6)</f>
        <v>61</v>
      </c>
      <c r="E123" s="159">
        <f t="shared" si="32"/>
        <v>245</v>
      </c>
      <c r="F123" s="159">
        <f t="shared" si="32"/>
        <v>426</v>
      </c>
      <c r="G123" s="159">
        <f t="shared" si="32"/>
        <v>610</v>
      </c>
      <c r="H123" s="159">
        <f t="shared" si="32"/>
        <v>791</v>
      </c>
      <c r="I123" s="159">
        <f t="shared" si="32"/>
        <v>975</v>
      </c>
      <c r="J123" s="159">
        <f t="shared" si="32"/>
        <v>1156</v>
      </c>
      <c r="K123" s="159">
        <f t="shared" si="32"/>
        <v>1340</v>
      </c>
      <c r="L123" s="159">
        <f t="shared" si="32"/>
        <v>1522</v>
      </c>
      <c r="M123" s="159">
        <f t="shared" si="32"/>
        <v>1706</v>
      </c>
      <c r="N123" s="159">
        <f t="shared" si="32"/>
        <v>1887</v>
      </c>
      <c r="O123" s="159">
        <f t="shared" si="32"/>
        <v>2071</v>
      </c>
      <c r="P123" s="159">
        <f t="shared" si="32"/>
        <v>2252</v>
      </c>
      <c r="Q123" s="159">
        <f t="shared" si="32"/>
        <v>2436</v>
      </c>
      <c r="R123" s="159">
        <f t="shared" si="32"/>
        <v>2617</v>
      </c>
      <c r="S123" s="159">
        <f t="shared" si="32"/>
        <v>2801</v>
      </c>
      <c r="T123" s="159">
        <f t="shared" si="32"/>
        <v>2983</v>
      </c>
      <c r="U123" s="159">
        <f t="shared" si="32"/>
        <v>3167</v>
      </c>
    </row>
    <row r="124" spans="1:22" s="77" customFormat="1">
      <c r="A124" s="221"/>
      <c r="B124" s="177" t="s">
        <v>56</v>
      </c>
      <c r="C124" s="114">
        <f t="shared" ref="C124:U124" si="33">C39</f>
        <v>0</v>
      </c>
      <c r="D124" s="114">
        <f t="shared" si="33"/>
        <v>0</v>
      </c>
      <c r="E124" s="114">
        <f t="shared" si="33"/>
        <v>0</v>
      </c>
      <c r="F124" s="114">
        <f t="shared" si="33"/>
        <v>0</v>
      </c>
      <c r="G124" s="114">
        <f t="shared" si="33"/>
        <v>0</v>
      </c>
      <c r="H124" s="114">
        <f t="shared" si="33"/>
        <v>0</v>
      </c>
      <c r="I124" s="114">
        <f t="shared" si="33"/>
        <v>0</v>
      </c>
      <c r="J124" s="114">
        <f t="shared" si="33"/>
        <v>0</v>
      </c>
      <c r="K124" s="114">
        <f t="shared" si="33"/>
        <v>0</v>
      </c>
      <c r="L124" s="114">
        <f t="shared" si="33"/>
        <v>0</v>
      </c>
      <c r="M124" s="114">
        <f t="shared" si="33"/>
        <v>0</v>
      </c>
      <c r="N124" s="114">
        <f t="shared" si="33"/>
        <v>0</v>
      </c>
      <c r="O124" s="114">
        <f t="shared" si="33"/>
        <v>0</v>
      </c>
      <c r="P124" s="114">
        <f t="shared" si="33"/>
        <v>0</v>
      </c>
      <c r="Q124" s="114">
        <f t="shared" si="33"/>
        <v>0</v>
      </c>
      <c r="R124" s="114">
        <f t="shared" si="33"/>
        <v>0</v>
      </c>
      <c r="S124" s="114">
        <f t="shared" si="33"/>
        <v>0</v>
      </c>
      <c r="T124" s="114">
        <f t="shared" si="33"/>
        <v>0</v>
      </c>
      <c r="U124" s="114">
        <f t="shared" si="33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A1:R1"/>
    <mergeCell ref="K2:Q2"/>
    <mergeCell ref="A4:N4"/>
    <mergeCell ref="A5:N5"/>
    <mergeCell ref="B7:C7"/>
    <mergeCell ref="D7:E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3:C13"/>
    <mergeCell ref="D13:E13"/>
    <mergeCell ref="F15:O15"/>
    <mergeCell ref="F16:M16"/>
    <mergeCell ref="N16:O17"/>
    <mergeCell ref="G17:H17"/>
    <mergeCell ref="I17:M17"/>
    <mergeCell ref="G18:H18"/>
    <mergeCell ref="I18:M18"/>
    <mergeCell ref="G19:H19"/>
    <mergeCell ref="I19:M19"/>
    <mergeCell ref="G20:H20"/>
    <mergeCell ref="I20:M20"/>
    <mergeCell ref="G21:G22"/>
    <mergeCell ref="I21:M21"/>
    <mergeCell ref="I22:M22"/>
    <mergeCell ref="G23:H24"/>
    <mergeCell ref="I23:M23"/>
    <mergeCell ref="I24:M24"/>
    <mergeCell ref="B27:B29"/>
    <mergeCell ref="V27:V29"/>
    <mergeCell ref="V39:V40"/>
    <mergeCell ref="R44:U44"/>
    <mergeCell ref="E64:G64"/>
  </mergeCells>
  <phoneticPr fontId="17"/>
  <conditionalFormatting sqref="H26:U26">
    <cfRule type="expression" dxfId="89" priority="14" stopIfTrue="1">
      <formula>$N$49=$E$99</formula>
    </cfRule>
    <cfRule type="cellIs" dxfId="88" priority="15" stopIfTrue="1" operator="equal">
      <formula>$E$99=$N$49</formula>
    </cfRule>
    <cfRule type="cellIs" dxfId="87" priority="16" stopIfTrue="1" operator="equal">
      <formula>$N$49=$E$99</formula>
    </cfRule>
  </conditionalFormatting>
  <conditionalFormatting sqref="P26">
    <cfRule type="expression" dxfId="86" priority="13" stopIfTrue="1">
      <formula>$P$49=$E$99</formula>
    </cfRule>
  </conditionalFormatting>
  <conditionalFormatting sqref="Q26">
    <cfRule type="expression" dxfId="85" priority="12" stopIfTrue="1">
      <formula>$Q$49=$E$99</formula>
    </cfRule>
  </conditionalFormatting>
  <conditionalFormatting sqref="R26">
    <cfRule type="expression" dxfId="84" priority="10" stopIfTrue="1">
      <formula>$R$49=$E$99</formula>
    </cfRule>
    <cfRule type="cellIs" dxfId="83" priority="11" stopIfTrue="1" operator="equal">
      <formula>$R$49=$E$99</formula>
    </cfRule>
  </conditionalFormatting>
  <conditionalFormatting sqref="S26">
    <cfRule type="expression" dxfId="82" priority="9" stopIfTrue="1">
      <formula>$S$49=$E$99</formula>
    </cfRule>
  </conditionalFormatting>
  <conditionalFormatting sqref="T26">
    <cfRule type="expression" dxfId="81" priority="8" stopIfTrue="1">
      <formula>$T$49=$E$99</formula>
    </cfRule>
  </conditionalFormatting>
  <conditionalFormatting sqref="U26">
    <cfRule type="expression" dxfId="80" priority="7" stopIfTrue="1">
      <formula>$U$49=$E$99</formula>
    </cfRule>
  </conditionalFormatting>
  <conditionalFormatting sqref="M26">
    <cfRule type="expression" dxfId="79" priority="6" stopIfTrue="1">
      <formula>$M$49=$E$99</formula>
    </cfRule>
  </conditionalFormatting>
  <conditionalFormatting sqref="L26">
    <cfRule type="expression" dxfId="78" priority="5" stopIfTrue="1">
      <formula>$L$49=$E$99</formula>
    </cfRule>
  </conditionalFormatting>
  <conditionalFormatting sqref="H26:U26">
    <cfRule type="expression" dxfId="77" priority="4" stopIfTrue="1">
      <formula>$H$49=$E$99</formula>
    </cfRule>
  </conditionalFormatting>
  <conditionalFormatting sqref="I26">
    <cfRule type="expression" dxfId="76" priority="3" stopIfTrue="1">
      <formula>$I$49=$E$99</formula>
    </cfRule>
  </conditionalFormatting>
  <conditionalFormatting sqref="J26">
    <cfRule type="expression" dxfId="75" priority="2" stopIfTrue="1">
      <formula>$J$49=$E$99</formula>
    </cfRule>
  </conditionalFormatting>
  <conditionalFormatting sqref="K26">
    <cfRule type="expression" dxfId="74" priority="1" stopIfTrue="1">
      <formula>$K$49=$E$99</formula>
    </cfRule>
  </conditionalFormatting>
  <conditionalFormatting sqref="O26:U26">
    <cfRule type="expression" dxfId="73" priority="17" stopIfTrue="1">
      <formula>$O$49=$E$99</formula>
    </cfRule>
    <cfRule type="expression" dxfId="72" priority="18" stopIfTrue="1">
      <formula>$O$4=$E$99</formula>
    </cfRule>
  </conditionalFormatting>
  <dataValidations count="2">
    <dataValidation type="whole" errorStyle="warning" operator="greaterThanOrEqual" allowBlank="1" showInputMessage="1" showErrorMessage="1" error="入力し直し" sqref="E7 D7:D10" xr:uid="{4D244691-6E24-47EC-9780-EC2639869903}">
      <formula1>100000</formula1>
    </dataValidation>
    <dataValidation type="whole" allowBlank="1" showInputMessage="1" showErrorMessage="1" sqref="D13:E13" xr:uid="{EE6B8B25-E805-4204-80EB-DDDF36E503E7}">
      <formula1>1</formula1>
      <formula2>7</formula2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5708-4529-47A7-B4C6-16A5A68E3124}">
  <sheetPr>
    <pageSetUpPr fitToPage="1"/>
  </sheetPr>
  <dimension ref="A1:AH125"/>
  <sheetViews>
    <sheetView showZeros="0" view="pageBreakPreview" topLeftCell="A30" zoomScale="80" zoomScaleNormal="100" zoomScaleSheetLayoutView="80" workbookViewId="0">
      <selection activeCell="D39" sqref="D39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'信用保険料計算書（上限2000万）'!K9</f>
        <v>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'信用保険料計算書（上限2000万）'!K10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'信用保険料計算書（上限2000万）'!K11</f>
        <v>0.1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'信用保険料計算書（上限2000万）'!K14</f>
        <v>0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'信用保険料計算書（上限2000万）'!K15</f>
        <v>0</v>
      </c>
      <c r="E12" s="283"/>
      <c r="F12" s="12" t="s">
        <v>29</v>
      </c>
      <c r="G12" s="286">
        <f>IF(D12="","",EDATE(D12,D11*12)-1)</f>
        <v>-1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25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25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24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171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16</v>
      </c>
    </row>
    <row r="28" spans="2:22" s="17" customFormat="1" ht="14.4" customHeight="1">
      <c r="B28" s="299"/>
      <c r="C28" s="45">
        <f>DATE(B99,C99,1)</f>
        <v>61</v>
      </c>
      <c r="D28" s="46">
        <f>EDATE(C28,6)</f>
        <v>245</v>
      </c>
      <c r="E28" s="46">
        <f>EDATE(D28,6)</f>
        <v>426</v>
      </c>
      <c r="F28" s="46">
        <f>EDATE(E28,6)</f>
        <v>610</v>
      </c>
      <c r="G28" s="46">
        <f>EDATE(F28,6)</f>
        <v>791</v>
      </c>
      <c r="H28" s="46">
        <f t="shared" ref="H28:U28" si="1">EDATE(G28,6)</f>
        <v>975</v>
      </c>
      <c r="I28" s="46">
        <f t="shared" si="1"/>
        <v>1156</v>
      </c>
      <c r="J28" s="46">
        <f t="shared" si="1"/>
        <v>1340</v>
      </c>
      <c r="K28" s="46">
        <f t="shared" si="1"/>
        <v>1522</v>
      </c>
      <c r="L28" s="46">
        <f t="shared" si="1"/>
        <v>1706</v>
      </c>
      <c r="M28" s="46">
        <f t="shared" si="1"/>
        <v>1887</v>
      </c>
      <c r="N28" s="46">
        <f t="shared" si="1"/>
        <v>2071</v>
      </c>
      <c r="O28" s="46">
        <f t="shared" si="1"/>
        <v>2252</v>
      </c>
      <c r="P28" s="46">
        <f t="shared" si="1"/>
        <v>2436</v>
      </c>
      <c r="Q28" s="46">
        <f t="shared" si="1"/>
        <v>2617</v>
      </c>
      <c r="R28" s="46">
        <f t="shared" si="1"/>
        <v>2801</v>
      </c>
      <c r="S28" s="46">
        <f t="shared" si="1"/>
        <v>2983</v>
      </c>
      <c r="T28" s="46">
        <f t="shared" si="1"/>
        <v>3167</v>
      </c>
      <c r="U28" s="47">
        <f t="shared" si="1"/>
        <v>3348</v>
      </c>
      <c r="V28" s="299"/>
    </row>
    <row r="29" spans="2:22" s="17" customFormat="1" ht="14.4" customHeight="1">
      <c r="B29" s="300"/>
      <c r="C29" s="9" t="s">
        <v>172</v>
      </c>
      <c r="D29" s="10" t="s">
        <v>172</v>
      </c>
      <c r="E29" s="10" t="s">
        <v>172</v>
      </c>
      <c r="F29" s="10" t="s">
        <v>172</v>
      </c>
      <c r="G29" s="10" t="s">
        <v>172</v>
      </c>
      <c r="H29" s="10" t="s">
        <v>172</v>
      </c>
      <c r="I29" s="10" t="s">
        <v>172</v>
      </c>
      <c r="J29" s="10" t="s">
        <v>172</v>
      </c>
      <c r="K29" s="10" t="s">
        <v>172</v>
      </c>
      <c r="L29" s="10" t="s">
        <v>172</v>
      </c>
      <c r="M29" s="10" t="s">
        <v>172</v>
      </c>
      <c r="N29" s="10" t="s">
        <v>172</v>
      </c>
      <c r="O29" s="10" t="s">
        <v>172</v>
      </c>
      <c r="P29" s="10" t="s">
        <v>172</v>
      </c>
      <c r="Q29" s="10" t="s">
        <v>172</v>
      </c>
      <c r="R29" s="10" t="s">
        <v>172</v>
      </c>
      <c r="S29" s="10" t="s">
        <v>172</v>
      </c>
      <c r="T29" s="10" t="s">
        <v>172</v>
      </c>
      <c r="U29" s="11" t="s">
        <v>172</v>
      </c>
      <c r="V29" s="300"/>
    </row>
    <row r="30" spans="2:22" ht="22.2" customHeight="1">
      <c r="B30" s="48" t="s">
        <v>173</v>
      </c>
      <c r="C30" s="49" t="e">
        <f t="shared" ref="C30:U31" si="2">C51+C54</f>
        <v>#DIV/0!</v>
      </c>
      <c r="D30" s="50" t="e">
        <f t="shared" si="2"/>
        <v>#DIV/0!</v>
      </c>
      <c r="E30" s="50" t="e">
        <f t="shared" si="2"/>
        <v>#DIV/0!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50">
        <f t="shared" si="2"/>
        <v>0</v>
      </c>
      <c r="U30" s="51">
        <f t="shared" si="2"/>
        <v>0</v>
      </c>
      <c r="V30" s="52" t="e">
        <f t="shared" ref="V30:V35" si="3">SUM(C30:U30)</f>
        <v>#DIV/0!</v>
      </c>
    </row>
    <row r="31" spans="2:22" ht="22.2" customHeight="1">
      <c r="B31" s="53" t="s">
        <v>174</v>
      </c>
      <c r="C31" s="54" t="e">
        <f t="shared" si="2"/>
        <v>#DIV/0!</v>
      </c>
      <c r="D31" s="54" t="e">
        <f t="shared" si="2"/>
        <v>#DIV/0!</v>
      </c>
      <c r="E31" s="54" t="e">
        <f t="shared" si="2"/>
        <v>#DIV/0!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>J52+J55</f>
        <v>0</v>
      </c>
      <c r="K31" s="54">
        <f>K52+K55</f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5">
        <f t="shared" si="2"/>
        <v>0</v>
      </c>
      <c r="V31" s="56" t="e">
        <f t="shared" si="3"/>
        <v>#DIV/0!</v>
      </c>
    </row>
    <row r="32" spans="2:22" ht="22.2" customHeight="1">
      <c r="B32" s="48" t="s">
        <v>175</v>
      </c>
      <c r="C32" s="49"/>
      <c r="D32" s="50">
        <f t="shared" ref="D32:N32" si="4">D62</f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O62</f>
        <v>0</v>
      </c>
      <c r="P32" s="50">
        <f t="shared" ref="P32:U32" si="5">P62</f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51">
        <f t="shared" si="5"/>
        <v>0</v>
      </c>
      <c r="V32" s="52">
        <f t="shared" si="3"/>
        <v>0</v>
      </c>
    </row>
    <row r="33" spans="1:34" ht="22.2" customHeight="1">
      <c r="B33" s="53" t="s">
        <v>176</v>
      </c>
      <c r="C33" s="57"/>
      <c r="D33" s="54">
        <f t="shared" ref="D33:N33" si="6">D32*$E$106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>INT(O32*$E$106)</f>
        <v>0</v>
      </c>
      <c r="P33" s="54">
        <f t="shared" ref="P33:U33" si="7">P32*$E$106</f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5">
        <f t="shared" si="7"/>
        <v>0</v>
      </c>
      <c r="V33" s="56">
        <f t="shared" si="3"/>
        <v>0</v>
      </c>
    </row>
    <row r="34" spans="1:34" ht="36" customHeight="1">
      <c r="B34" s="58" t="s">
        <v>177</v>
      </c>
      <c r="C34" s="59">
        <f t="shared" ref="C34:U34" si="8">IF($D$13=6,0,IF($D$13=7,0,(C53+C56)))</f>
        <v>0</v>
      </c>
      <c r="D34" s="60">
        <f t="shared" si="8"/>
        <v>0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 t="shared" si="8"/>
        <v>#DIV/0!</v>
      </c>
      <c r="O34" s="60" t="e">
        <f t="shared" si="8"/>
        <v>#DIV/0!</v>
      </c>
      <c r="P34" s="60" t="e">
        <f t="shared" si="8"/>
        <v>#DIV/0!</v>
      </c>
      <c r="Q34" s="60" t="e">
        <f t="shared" si="8"/>
        <v>#DIV/0!</v>
      </c>
      <c r="R34" s="60" t="e">
        <f t="shared" si="8"/>
        <v>#DIV/0!</v>
      </c>
      <c r="S34" s="60" t="e">
        <f t="shared" si="8"/>
        <v>#DIV/0!</v>
      </c>
      <c r="T34" s="60" t="e">
        <f t="shared" si="8"/>
        <v>#DIV/0!</v>
      </c>
      <c r="U34" s="61" t="e">
        <f t="shared" si="8"/>
        <v>#DIV/0!</v>
      </c>
      <c r="V34" s="62" t="e">
        <f t="shared" si="3"/>
        <v>#DIV/0!</v>
      </c>
    </row>
    <row r="35" spans="1:34" ht="22.2" customHeight="1">
      <c r="B35" s="63" t="s">
        <v>178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3"/>
        <v>0</v>
      </c>
    </row>
    <row r="36" spans="1:34" ht="25.2" customHeight="1">
      <c r="B36" s="65" t="s">
        <v>179</v>
      </c>
      <c r="C36" s="66" t="e">
        <f t="shared" ref="C36:V36" si="9">SUM(C30:C35)</f>
        <v>#DIV/0!</v>
      </c>
      <c r="D36" s="67" t="e">
        <f t="shared" si="9"/>
        <v>#DIV/0!</v>
      </c>
      <c r="E36" s="67" t="e">
        <f t="shared" si="9"/>
        <v>#DIV/0!</v>
      </c>
      <c r="F36" s="67" t="e">
        <f t="shared" si="9"/>
        <v>#DIV/0!</v>
      </c>
      <c r="G36" s="67" t="e">
        <f t="shared" si="9"/>
        <v>#DIV/0!</v>
      </c>
      <c r="H36" s="67" t="e">
        <f t="shared" si="9"/>
        <v>#DIV/0!</v>
      </c>
      <c r="I36" s="67" t="e">
        <f t="shared" si="9"/>
        <v>#DIV/0!</v>
      </c>
      <c r="J36" s="67" t="e">
        <f t="shared" si="9"/>
        <v>#DIV/0!</v>
      </c>
      <c r="K36" s="67" t="e">
        <f t="shared" si="9"/>
        <v>#DIV/0!</v>
      </c>
      <c r="L36" s="67" t="e">
        <f t="shared" si="9"/>
        <v>#DIV/0!</v>
      </c>
      <c r="M36" s="67" t="e">
        <f t="shared" si="9"/>
        <v>#DIV/0!</v>
      </c>
      <c r="N36" s="67" t="e">
        <f t="shared" si="9"/>
        <v>#DIV/0!</v>
      </c>
      <c r="O36" s="67" t="e">
        <f t="shared" si="9"/>
        <v>#DIV/0!</v>
      </c>
      <c r="P36" s="67" t="e">
        <f t="shared" si="9"/>
        <v>#DIV/0!</v>
      </c>
      <c r="Q36" s="67" t="e">
        <f t="shared" si="9"/>
        <v>#DIV/0!</v>
      </c>
      <c r="R36" s="67" t="e">
        <f t="shared" si="9"/>
        <v>#DIV/0!</v>
      </c>
      <c r="S36" s="67" t="e">
        <f t="shared" si="9"/>
        <v>#DIV/0!</v>
      </c>
      <c r="T36" s="67" t="e">
        <f t="shared" si="9"/>
        <v>#DIV/0!</v>
      </c>
      <c r="U36" s="68" t="e">
        <f t="shared" si="9"/>
        <v>#DIV/0!</v>
      </c>
      <c r="V36" s="62" t="e">
        <f t="shared" si="9"/>
        <v>#DIV/0!</v>
      </c>
    </row>
    <row r="37" spans="1:34" ht="18.600000000000001" customHeight="1"/>
    <row r="38" spans="1:34" ht="17.399999999999999" customHeight="1">
      <c r="B38" s="69" t="s">
        <v>180</v>
      </c>
      <c r="E38" s="70"/>
      <c r="I38" s="71" t="s">
        <v>181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2"/>
      <c r="B39" s="74" t="s">
        <v>182</v>
      </c>
      <c r="C39" s="75">
        <f>IF(DATEVALUE("2018/3/31")&lt;$D$12,INT(D9*(1+$E$106)),D9)</f>
        <v>0</v>
      </c>
      <c r="D39" s="76">
        <f>IF(AND(D48=0,D59=0),(C39-(C30+C31)),IF(AND(D48=1,D59=1),(C39-(C30+C31)),0))</f>
        <v>0</v>
      </c>
      <c r="E39" s="76">
        <f>IF(AND(E48=0,E59=0),(D39-(D30+D31)),IF(AND(E48=1,E59=1),(D39-(D30+D31)),0))</f>
        <v>0</v>
      </c>
      <c r="F39" s="76">
        <f t="shared" ref="F39:Q39" si="10">IF(AND(F48=0,F59=0),(E39-(E30+E31)),IF(AND(F48=1,F59=1),(E39-(E30+E31)),0))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6">
        <f t="shared" si="10"/>
        <v>0</v>
      </c>
      <c r="P39" s="76">
        <f t="shared" si="10"/>
        <v>0</v>
      </c>
      <c r="Q39" s="76">
        <f t="shared" si="10"/>
        <v>0</v>
      </c>
      <c r="R39" s="76">
        <f t="shared" ref="R39:U39" si="11">IF(AND(R48=0,R59=0),(Q39-(Q30+Q31)),IF(AND(R48=1,R59=1),(Q39-(Q30+Q31)),0))</f>
        <v>0</v>
      </c>
      <c r="S39" s="76">
        <f t="shared" si="11"/>
        <v>0</v>
      </c>
      <c r="T39" s="76">
        <f t="shared" si="11"/>
        <v>0</v>
      </c>
      <c r="U39" s="76">
        <f t="shared" si="11"/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2">IF(C39&gt;$F$114,$F$114,C39)</f>
        <v>0</v>
      </c>
      <c r="D40" s="81">
        <f t="shared" si="12"/>
        <v>0</v>
      </c>
      <c r="E40" s="81">
        <f t="shared" si="12"/>
        <v>0</v>
      </c>
      <c r="F40" s="81">
        <f t="shared" si="12"/>
        <v>0</v>
      </c>
      <c r="G40" s="81">
        <f t="shared" si="12"/>
        <v>0</v>
      </c>
      <c r="H40" s="81">
        <f t="shared" si="12"/>
        <v>0</v>
      </c>
      <c r="I40" s="81">
        <f t="shared" si="12"/>
        <v>0</v>
      </c>
      <c r="J40" s="81">
        <f t="shared" si="12"/>
        <v>0</v>
      </c>
      <c r="K40" s="81">
        <f t="shared" si="12"/>
        <v>0</v>
      </c>
      <c r="L40" s="81">
        <f t="shared" si="12"/>
        <v>0</v>
      </c>
      <c r="M40" s="81">
        <f t="shared" si="12"/>
        <v>0</v>
      </c>
      <c r="N40" s="81">
        <f t="shared" si="12"/>
        <v>0</v>
      </c>
      <c r="O40" s="81">
        <f t="shared" si="12"/>
        <v>0</v>
      </c>
      <c r="P40" s="81">
        <f t="shared" si="12"/>
        <v>0</v>
      </c>
      <c r="Q40" s="81">
        <f t="shared" si="12"/>
        <v>0</v>
      </c>
      <c r="R40" s="82">
        <f t="shared" si="12"/>
        <v>0</v>
      </c>
      <c r="S40" s="83">
        <f t="shared" si="12"/>
        <v>0</v>
      </c>
      <c r="T40" s="83">
        <f t="shared" si="12"/>
        <v>0</v>
      </c>
      <c r="U40" s="84">
        <f t="shared" si="12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0</v>
      </c>
      <c r="D41" s="87">
        <f>IF(AND(D48=0,D59=0),INT(ROUNDDOWN(D40*0.0048/12,2)*6),IF(AND(D48=1,D59=1),INT(ROUNDDOWN((ROUNDDOWN(D40*0.0048/12,2))*6,0)*$E$65),0))</f>
        <v>0</v>
      </c>
      <c r="E41" s="87">
        <f t="shared" ref="E41:U41" si="13">IF(AND(E48=0,E59=0),INT(ROUNDDOWN(E40*0.0048/12,2)*6),IF(AND(E48=1,E59=1),INT(ROUNDDOWN((ROUNDDOWN(E40*0.0048/12,2))*6,0)*$E$65),0))</f>
        <v>0</v>
      </c>
      <c r="F41" s="87">
        <f t="shared" si="13"/>
        <v>0</v>
      </c>
      <c r="G41" s="87">
        <f t="shared" si="13"/>
        <v>0</v>
      </c>
      <c r="H41" s="87">
        <f t="shared" si="13"/>
        <v>0</v>
      </c>
      <c r="I41" s="87">
        <f t="shared" si="13"/>
        <v>0</v>
      </c>
      <c r="J41" s="87">
        <f t="shared" si="13"/>
        <v>0</v>
      </c>
      <c r="K41" s="87">
        <f t="shared" si="13"/>
        <v>0</v>
      </c>
      <c r="L41" s="87">
        <f t="shared" si="13"/>
        <v>0</v>
      </c>
      <c r="M41" s="87">
        <f t="shared" si="13"/>
        <v>0</v>
      </c>
      <c r="N41" s="87">
        <f t="shared" si="13"/>
        <v>0</v>
      </c>
      <c r="O41" s="87">
        <f t="shared" si="13"/>
        <v>0</v>
      </c>
      <c r="P41" s="87">
        <f t="shared" si="13"/>
        <v>0</v>
      </c>
      <c r="Q41" s="87">
        <f t="shared" si="13"/>
        <v>0</v>
      </c>
      <c r="R41" s="88">
        <f t="shared" si="13"/>
        <v>0</v>
      </c>
      <c r="S41" s="89">
        <f t="shared" si="13"/>
        <v>0</v>
      </c>
      <c r="T41" s="89">
        <f t="shared" si="13"/>
        <v>0</v>
      </c>
      <c r="U41" s="90">
        <f t="shared" si="13"/>
        <v>0</v>
      </c>
      <c r="V41" s="91">
        <f>SUM(C41:U41)</f>
        <v>0</v>
      </c>
    </row>
    <row r="42" spans="1:34" ht="24">
      <c r="A42" s="78"/>
      <c r="B42" s="92" t="s">
        <v>186</v>
      </c>
      <c r="C42" s="93">
        <f>IF(C39*0.95&gt;$F$114,$F$114,C39*0.95)</f>
        <v>0</v>
      </c>
      <c r="D42" s="94">
        <f>IF(D39*0.95&gt;$F$114,$F$114,D39*0.95)</f>
        <v>0</v>
      </c>
      <c r="E42" s="94">
        <f t="shared" ref="E42:U42" si="14">IF(E39*0.95&gt;$F$114,$F$114,E39*0.95)</f>
        <v>0</v>
      </c>
      <c r="F42" s="94">
        <f t="shared" si="14"/>
        <v>0</v>
      </c>
      <c r="G42" s="94">
        <f t="shared" si="14"/>
        <v>0</v>
      </c>
      <c r="H42" s="94">
        <f t="shared" si="14"/>
        <v>0</v>
      </c>
      <c r="I42" s="94">
        <f t="shared" si="14"/>
        <v>0</v>
      </c>
      <c r="J42" s="94">
        <f t="shared" si="14"/>
        <v>0</v>
      </c>
      <c r="K42" s="94">
        <f t="shared" si="14"/>
        <v>0</v>
      </c>
      <c r="L42" s="94">
        <f t="shared" si="14"/>
        <v>0</v>
      </c>
      <c r="M42" s="94">
        <f t="shared" si="14"/>
        <v>0</v>
      </c>
      <c r="N42" s="94">
        <f t="shared" si="14"/>
        <v>0</v>
      </c>
      <c r="O42" s="94">
        <f t="shared" si="14"/>
        <v>0</v>
      </c>
      <c r="P42" s="94">
        <f t="shared" si="14"/>
        <v>0</v>
      </c>
      <c r="Q42" s="94">
        <f t="shared" si="14"/>
        <v>0</v>
      </c>
      <c r="R42" s="95">
        <f t="shared" si="14"/>
        <v>0</v>
      </c>
      <c r="S42" s="96">
        <f t="shared" si="14"/>
        <v>0</v>
      </c>
      <c r="T42" s="96">
        <f t="shared" si="14"/>
        <v>0</v>
      </c>
      <c r="U42" s="97">
        <f t="shared" si="14"/>
        <v>0</v>
      </c>
      <c r="V42" s="62"/>
    </row>
    <row r="43" spans="1:34" ht="13.8" thickBot="1"/>
    <row r="44" spans="1:34" ht="16.8" thickBot="1">
      <c r="A44" s="98"/>
      <c r="B44" s="99" t="s">
        <v>187</v>
      </c>
      <c r="C44" s="100">
        <f>K106</f>
        <v>0.01</v>
      </c>
      <c r="R44" s="303" t="s">
        <v>188</v>
      </c>
      <c r="S44" s="303"/>
      <c r="T44" s="303"/>
      <c r="U44" s="303"/>
      <c r="V44" s="101" t="e">
        <f>V30+V32</f>
        <v>#DIV/0!</v>
      </c>
      <c r="W44" s="102" t="e">
        <f>IF(V44=D9,"OK","エラー")</f>
        <v>#DIV/0!</v>
      </c>
    </row>
    <row r="45" spans="1:34" ht="13.8" thickBot="1">
      <c r="A45" s="103">
        <f>MONTH(D12)</f>
        <v>1</v>
      </c>
      <c r="B45" s="14" t="s">
        <v>0</v>
      </c>
    </row>
    <row r="46" spans="1:34">
      <c r="A46" s="232"/>
    </row>
    <row r="47" spans="1:34">
      <c r="B47" s="14" t="s">
        <v>189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190</v>
      </c>
      <c r="C48" s="104">
        <f t="shared" ref="C48:U48" si="15">IF((IF($D$11&gt;$G$114,$G$114,$D$11)*2)&lt;C47,1,0)</f>
        <v>1</v>
      </c>
      <c r="D48" s="104">
        <f t="shared" si="15"/>
        <v>1</v>
      </c>
      <c r="E48" s="104">
        <f t="shared" si="15"/>
        <v>1</v>
      </c>
      <c r="F48" s="104">
        <f t="shared" si="15"/>
        <v>1</v>
      </c>
      <c r="G48" s="104">
        <f t="shared" si="15"/>
        <v>1</v>
      </c>
      <c r="H48" s="104">
        <f t="shared" si="15"/>
        <v>1</v>
      </c>
      <c r="I48" s="104">
        <f t="shared" si="15"/>
        <v>1</v>
      </c>
      <c r="J48" s="104">
        <f t="shared" si="15"/>
        <v>1</v>
      </c>
      <c r="K48" s="104">
        <f t="shared" si="15"/>
        <v>1</v>
      </c>
      <c r="L48" s="104">
        <f t="shared" si="15"/>
        <v>1</v>
      </c>
      <c r="M48" s="104">
        <f t="shared" si="15"/>
        <v>1</v>
      </c>
      <c r="N48" s="104">
        <f t="shared" si="15"/>
        <v>1</v>
      </c>
      <c r="O48" s="104">
        <f t="shared" si="15"/>
        <v>1</v>
      </c>
      <c r="P48" s="104">
        <f t="shared" si="15"/>
        <v>1</v>
      </c>
      <c r="Q48" s="104">
        <f t="shared" si="15"/>
        <v>1</v>
      </c>
      <c r="R48" s="104">
        <f t="shared" si="15"/>
        <v>1</v>
      </c>
      <c r="S48" s="104">
        <f t="shared" si="15"/>
        <v>1</v>
      </c>
      <c r="T48" s="104">
        <f t="shared" si="15"/>
        <v>1</v>
      </c>
      <c r="U48" s="104">
        <f t="shared" si="15"/>
        <v>1</v>
      </c>
      <c r="V48" s="104">
        <f t="shared" ref="V48" si="16">IF((IF($D$8&gt;9,9,$D$8)*2)&lt;V47,1,0)</f>
        <v>0</v>
      </c>
      <c r="W48" s="104">
        <f t="shared" ref="W48:AG48" si="17">IF((IF($D$8&gt;9,9,$D$8)*2)&lt;W47,1,0)</f>
        <v>0</v>
      </c>
      <c r="X48" s="104">
        <f t="shared" si="17"/>
        <v>0</v>
      </c>
      <c r="Y48" s="104">
        <f t="shared" si="17"/>
        <v>0</v>
      </c>
      <c r="Z48" s="104">
        <f t="shared" si="17"/>
        <v>0</v>
      </c>
      <c r="AA48" s="104">
        <f t="shared" si="17"/>
        <v>0</v>
      </c>
      <c r="AB48" s="104">
        <f t="shared" si="17"/>
        <v>0</v>
      </c>
      <c r="AC48" s="104">
        <f t="shared" si="17"/>
        <v>0</v>
      </c>
      <c r="AD48" s="104">
        <f t="shared" si="17"/>
        <v>0</v>
      </c>
      <c r="AE48" s="104">
        <f t="shared" si="17"/>
        <v>0</v>
      </c>
      <c r="AF48" s="104">
        <f t="shared" si="17"/>
        <v>0</v>
      </c>
      <c r="AG48" s="104">
        <f t="shared" si="17"/>
        <v>0</v>
      </c>
      <c r="AH48" s="104" t="s">
        <v>97</v>
      </c>
    </row>
    <row r="49" spans="1:29">
      <c r="B49" s="14" t="s">
        <v>192</v>
      </c>
      <c r="C49" s="14">
        <f>IF($D$11*2&lt;C47,1,0)</f>
        <v>1</v>
      </c>
      <c r="D49" s="14">
        <f>IF($D$11*2&lt;D47,1,0)</f>
        <v>1</v>
      </c>
      <c r="E49" s="14">
        <f>IF($D$11*2&lt;E47,1,0)</f>
        <v>1</v>
      </c>
      <c r="F49" s="105">
        <f>IF($D$11*2&lt;F47,1,0)</f>
        <v>1</v>
      </c>
      <c r="G49" s="105">
        <f t="shared" ref="G49:U49" si="18">IF($D$11*2&lt;G47,1,0)</f>
        <v>1</v>
      </c>
      <c r="H49" s="105">
        <f t="shared" si="18"/>
        <v>1</v>
      </c>
      <c r="I49" s="105">
        <f t="shared" si="18"/>
        <v>1</v>
      </c>
      <c r="J49" s="105">
        <f t="shared" si="18"/>
        <v>1</v>
      </c>
      <c r="K49" s="105">
        <f t="shared" si="18"/>
        <v>1</v>
      </c>
      <c r="L49" s="105">
        <f t="shared" si="18"/>
        <v>1</v>
      </c>
      <c r="M49" s="105">
        <f t="shared" si="18"/>
        <v>1</v>
      </c>
      <c r="N49" s="105">
        <f t="shared" si="18"/>
        <v>1</v>
      </c>
      <c r="O49" s="105">
        <f t="shared" si="18"/>
        <v>1</v>
      </c>
      <c r="P49" s="105">
        <f t="shared" si="18"/>
        <v>1</v>
      </c>
      <c r="Q49" s="105">
        <f t="shared" si="18"/>
        <v>1</v>
      </c>
      <c r="R49" s="105">
        <f t="shared" si="18"/>
        <v>1</v>
      </c>
      <c r="S49" s="105">
        <f t="shared" si="18"/>
        <v>1</v>
      </c>
      <c r="T49" s="105">
        <f t="shared" si="18"/>
        <v>1</v>
      </c>
      <c r="U49" s="105">
        <f t="shared" si="18"/>
        <v>1</v>
      </c>
      <c r="V49" s="14" t="s">
        <v>191</v>
      </c>
    </row>
    <row r="50" spans="1:29">
      <c r="A50" s="106" t="s">
        <v>26</v>
      </c>
      <c r="B50" s="107" t="s">
        <v>193</v>
      </c>
      <c r="C50" s="107"/>
      <c r="D50" s="107" t="e">
        <f>C51</f>
        <v>#DIV/0!</v>
      </c>
      <c r="E50" s="107">
        <f>IF(E49=1,0,SUM($C$51:D51))</f>
        <v>0</v>
      </c>
      <c r="F50" s="107">
        <f>IF(F49=1,0,SUM($C$51:E51))</f>
        <v>0</v>
      </c>
      <c r="G50" s="107">
        <f>IF(G49=1,0,SUM($C$51:F51))</f>
        <v>0</v>
      </c>
      <c r="H50" s="107">
        <f>IF(H49=1,0,SUM($C$51:G51))</f>
        <v>0</v>
      </c>
      <c r="I50" s="107">
        <f>IF(I49=1,0,SUM(C51:H51))</f>
        <v>0</v>
      </c>
      <c r="J50" s="107">
        <f>IF(J49=1,0,SUM(C51:I51))</f>
        <v>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193</v>
      </c>
    </row>
    <row r="51" spans="1:29">
      <c r="A51" s="106">
        <f>INT(D9*F10)</f>
        <v>0</v>
      </c>
      <c r="B51" s="107" t="s">
        <v>194</v>
      </c>
      <c r="C51" s="108" t="e">
        <f>(D9)-(SUM(D51:U51)+SUM(D54:U54)+A51)</f>
        <v>#DIV/0!</v>
      </c>
      <c r="D51" s="108" t="e">
        <f>INT((D9-A51)/(D11*2))</f>
        <v>#DIV/0!</v>
      </c>
      <c r="E51" s="108">
        <f t="shared" ref="E51:T51" si="19">IF(E49=1,0,D51)</f>
        <v>0</v>
      </c>
      <c r="F51" s="108">
        <f t="shared" si="19"/>
        <v>0</v>
      </c>
      <c r="G51" s="108">
        <f t="shared" si="19"/>
        <v>0</v>
      </c>
      <c r="H51" s="108">
        <f t="shared" si="19"/>
        <v>0</v>
      </c>
      <c r="I51" s="108">
        <f t="shared" si="19"/>
        <v>0</v>
      </c>
      <c r="J51" s="108">
        <f t="shared" si="19"/>
        <v>0</v>
      </c>
      <c r="K51" s="108">
        <f t="shared" si="19"/>
        <v>0</v>
      </c>
      <c r="L51" s="108">
        <f t="shared" si="19"/>
        <v>0</v>
      </c>
      <c r="M51" s="108">
        <f t="shared" si="19"/>
        <v>0</v>
      </c>
      <c r="N51" s="108">
        <f t="shared" si="19"/>
        <v>0</v>
      </c>
      <c r="O51" s="108">
        <f t="shared" si="19"/>
        <v>0</v>
      </c>
      <c r="P51" s="108">
        <f t="shared" si="19"/>
        <v>0</v>
      </c>
      <c r="Q51" s="108">
        <f t="shared" si="19"/>
        <v>0</v>
      </c>
      <c r="R51" s="108">
        <f t="shared" si="19"/>
        <v>0</v>
      </c>
      <c r="S51" s="108">
        <f t="shared" si="19"/>
        <v>0</v>
      </c>
      <c r="T51" s="108">
        <f t="shared" si="19"/>
        <v>0</v>
      </c>
      <c r="U51" s="108"/>
      <c r="V51" s="14" t="s">
        <v>195</v>
      </c>
    </row>
    <row r="52" spans="1:29">
      <c r="B52" s="107" t="s">
        <v>196</v>
      </c>
      <c r="C52" s="108" t="e">
        <f>INT((D9-A51)*E106)-SUM(D52:T52)-SUM(D55:U55)</f>
        <v>#DIV/0!</v>
      </c>
      <c r="D52" s="108" t="e">
        <f t="shared" ref="D52" si="20">INT(D51*$E$106)</f>
        <v>#DIV/0!</v>
      </c>
      <c r="E52" s="108">
        <f>INT(E51*$E$106)</f>
        <v>0</v>
      </c>
      <c r="F52" s="108">
        <f t="shared" ref="F52:U52" si="21">INT(F51*$E$106)</f>
        <v>0</v>
      </c>
      <c r="G52" s="108">
        <f t="shared" si="21"/>
        <v>0</v>
      </c>
      <c r="H52" s="108">
        <f t="shared" si="21"/>
        <v>0</v>
      </c>
      <c r="I52" s="108">
        <f t="shared" si="21"/>
        <v>0</v>
      </c>
      <c r="J52" s="108">
        <f t="shared" si="21"/>
        <v>0</v>
      </c>
      <c r="K52" s="108">
        <f t="shared" si="21"/>
        <v>0</v>
      </c>
      <c r="L52" s="108">
        <f t="shared" si="21"/>
        <v>0</v>
      </c>
      <c r="M52" s="108">
        <f t="shared" si="21"/>
        <v>0</v>
      </c>
      <c r="N52" s="108">
        <f t="shared" si="21"/>
        <v>0</v>
      </c>
      <c r="O52" s="108">
        <f t="shared" si="21"/>
        <v>0</v>
      </c>
      <c r="P52" s="108">
        <f t="shared" si="21"/>
        <v>0</v>
      </c>
      <c r="Q52" s="108">
        <f t="shared" si="21"/>
        <v>0</v>
      </c>
      <c r="R52" s="108">
        <f t="shared" si="21"/>
        <v>0</v>
      </c>
      <c r="S52" s="108">
        <f t="shared" si="21"/>
        <v>0</v>
      </c>
      <c r="T52" s="108">
        <f t="shared" si="21"/>
        <v>0</v>
      </c>
      <c r="U52" s="108">
        <f t="shared" si="21"/>
        <v>0</v>
      </c>
      <c r="V52" s="14" t="s">
        <v>197</v>
      </c>
    </row>
    <row r="53" spans="1:29">
      <c r="B53" s="107" t="s">
        <v>198</v>
      </c>
      <c r="C53" s="108">
        <f>INT(D9*(C44)/2*D65)</f>
        <v>0</v>
      </c>
      <c r="D53" s="108">
        <f t="shared" ref="D53:U53" si="22">INT(IF(D49=1,0,($D$9-D50)*($C$44)/2))</f>
        <v>0</v>
      </c>
      <c r="E53" s="108">
        <f t="shared" si="22"/>
        <v>0</v>
      </c>
      <c r="F53" s="108">
        <f t="shared" si="22"/>
        <v>0</v>
      </c>
      <c r="G53" s="108">
        <f t="shared" si="22"/>
        <v>0</v>
      </c>
      <c r="H53" s="108">
        <f t="shared" si="22"/>
        <v>0</v>
      </c>
      <c r="I53" s="108">
        <f t="shared" si="22"/>
        <v>0</v>
      </c>
      <c r="J53" s="108">
        <f t="shared" si="22"/>
        <v>0</v>
      </c>
      <c r="K53" s="108">
        <f t="shared" si="22"/>
        <v>0</v>
      </c>
      <c r="L53" s="108">
        <f t="shared" si="22"/>
        <v>0</v>
      </c>
      <c r="M53" s="108">
        <f t="shared" si="22"/>
        <v>0</v>
      </c>
      <c r="N53" s="108">
        <f t="shared" si="22"/>
        <v>0</v>
      </c>
      <c r="O53" s="108">
        <f t="shared" si="22"/>
        <v>0</v>
      </c>
      <c r="P53" s="108">
        <f t="shared" si="22"/>
        <v>0</v>
      </c>
      <c r="Q53" s="108">
        <f t="shared" si="22"/>
        <v>0</v>
      </c>
      <c r="R53" s="108">
        <f t="shared" si="22"/>
        <v>0</v>
      </c>
      <c r="S53" s="108">
        <f t="shared" si="22"/>
        <v>0</v>
      </c>
      <c r="T53" s="108">
        <f t="shared" si="22"/>
        <v>0</v>
      </c>
      <c r="U53" s="108">
        <f t="shared" si="22"/>
        <v>0</v>
      </c>
      <c r="V53" s="14" t="s">
        <v>198</v>
      </c>
    </row>
    <row r="54" spans="1:29">
      <c r="A54" s="109"/>
      <c r="B54" s="107" t="s">
        <v>199</v>
      </c>
      <c r="C54" s="110"/>
      <c r="D54" s="110"/>
      <c r="E54" s="111" t="e">
        <f t="shared" ref="E54:U54" si="23">INT(E60*$E$65*D51)</f>
        <v>#DIV/0!</v>
      </c>
      <c r="F54" s="111">
        <f t="shared" si="23"/>
        <v>0</v>
      </c>
      <c r="G54" s="111">
        <f t="shared" si="23"/>
        <v>0</v>
      </c>
      <c r="H54" s="111">
        <f t="shared" si="23"/>
        <v>0</v>
      </c>
      <c r="I54" s="111">
        <f t="shared" si="23"/>
        <v>0</v>
      </c>
      <c r="J54" s="111">
        <f t="shared" si="23"/>
        <v>0</v>
      </c>
      <c r="K54" s="111">
        <f t="shared" si="23"/>
        <v>0</v>
      </c>
      <c r="L54" s="111">
        <f t="shared" si="23"/>
        <v>0</v>
      </c>
      <c r="M54" s="111">
        <f t="shared" si="23"/>
        <v>0</v>
      </c>
      <c r="N54" s="111">
        <f t="shared" si="23"/>
        <v>0</v>
      </c>
      <c r="O54" s="111">
        <f t="shared" si="23"/>
        <v>0</v>
      </c>
      <c r="P54" s="111">
        <f t="shared" si="23"/>
        <v>0</v>
      </c>
      <c r="Q54" s="111">
        <f t="shared" si="23"/>
        <v>0</v>
      </c>
      <c r="R54" s="111">
        <f t="shared" si="23"/>
        <v>0</v>
      </c>
      <c r="S54" s="111">
        <f t="shared" si="23"/>
        <v>0</v>
      </c>
      <c r="T54" s="111">
        <f t="shared" si="23"/>
        <v>0</v>
      </c>
      <c r="U54" s="111">
        <f t="shared" si="23"/>
        <v>0</v>
      </c>
      <c r="V54" s="14" t="s">
        <v>199</v>
      </c>
    </row>
    <row r="55" spans="1:29">
      <c r="A55" s="112"/>
      <c r="B55" s="107" t="s">
        <v>197</v>
      </c>
      <c r="C55" s="107">
        <f t="shared" ref="C55:U55" si="24">INT(C54*$E$106)</f>
        <v>0</v>
      </c>
      <c r="D55" s="107">
        <f t="shared" si="24"/>
        <v>0</v>
      </c>
      <c r="E55" s="107" t="e">
        <f t="shared" si="24"/>
        <v>#DIV/0!</v>
      </c>
      <c r="F55" s="107">
        <f t="shared" si="24"/>
        <v>0</v>
      </c>
      <c r="G55" s="107">
        <f t="shared" si="24"/>
        <v>0</v>
      </c>
      <c r="H55" s="107">
        <f t="shared" si="24"/>
        <v>0</v>
      </c>
      <c r="I55" s="108">
        <f t="shared" si="24"/>
        <v>0</v>
      </c>
      <c r="J55" s="108">
        <f t="shared" si="24"/>
        <v>0</v>
      </c>
      <c r="K55" s="108">
        <f t="shared" si="24"/>
        <v>0</v>
      </c>
      <c r="L55" s="108">
        <f t="shared" si="24"/>
        <v>0</v>
      </c>
      <c r="M55" s="108">
        <f t="shared" si="24"/>
        <v>0</v>
      </c>
      <c r="N55" s="108">
        <f t="shared" si="24"/>
        <v>0</v>
      </c>
      <c r="O55" s="108">
        <f t="shared" si="24"/>
        <v>0</v>
      </c>
      <c r="P55" s="108">
        <f t="shared" si="24"/>
        <v>0</v>
      </c>
      <c r="Q55" s="108">
        <f t="shared" si="24"/>
        <v>0</v>
      </c>
      <c r="R55" s="108">
        <f t="shared" si="24"/>
        <v>0</v>
      </c>
      <c r="S55" s="108">
        <f t="shared" si="24"/>
        <v>0</v>
      </c>
      <c r="T55" s="108">
        <f t="shared" si="24"/>
        <v>0</v>
      </c>
      <c r="U55" s="108">
        <f t="shared" si="24"/>
        <v>0</v>
      </c>
      <c r="V55" s="14" t="s">
        <v>197</v>
      </c>
    </row>
    <row r="56" spans="1:29">
      <c r="A56" s="233"/>
      <c r="B56" s="107" t="s">
        <v>198</v>
      </c>
      <c r="C56" s="108"/>
      <c r="D56" s="107"/>
      <c r="E56" s="108" t="e">
        <f>INT((($D$9-SUM($C$51:D51))*($C$44)/2)*$E$65*E60)</f>
        <v>#DIV/0!</v>
      </c>
      <c r="F56" s="108" t="e">
        <f>INT((($D$9-SUM($C$51:E51))*($C$44)/2)*$E$65*F60)</f>
        <v>#DIV/0!</v>
      </c>
      <c r="G56" s="108" t="e">
        <f>INT((($D$9-SUM($C$51:F51))*($C$44)/2)*$E$65*G60)</f>
        <v>#DIV/0!</v>
      </c>
      <c r="H56" s="108" t="e">
        <f>INT((($D$9-SUM($C$51:G51))*($C$44)/2)*$E$65*H60)</f>
        <v>#DIV/0!</v>
      </c>
      <c r="I56" s="108" t="e">
        <f>INT((($D$9-SUM($C$51:H51))*($C$44)/2)*$E$65*I60)</f>
        <v>#DIV/0!</v>
      </c>
      <c r="J56" s="108" t="e">
        <f>INT((($D$9-SUM($C$51:I51))*($C$44)/2)*$E$65*J60)</f>
        <v>#DIV/0!</v>
      </c>
      <c r="K56" s="108" t="e">
        <f>INT((($D$9-SUM($C$51:J51))*($C$44)/2)*$E$65*K60)</f>
        <v>#DIV/0!</v>
      </c>
      <c r="L56" s="108" t="e">
        <f>INT((($D$9-SUM($C$51:K51))*($C$44)/2)*$E$65*L60)</f>
        <v>#DIV/0!</v>
      </c>
      <c r="M56" s="108" t="e">
        <f>INT((($D$9-SUM($C$51:L51))*($C$44)/2)*$E$65*M60)</f>
        <v>#DIV/0!</v>
      </c>
      <c r="N56" s="108" t="e">
        <f>INT((($D$9-SUM($C$51:M51))*($C$44)/2)*$E$65*N60)</f>
        <v>#DIV/0!</v>
      </c>
      <c r="O56" s="108" t="e">
        <f>INT((($D$9-SUM($C$51:N51))*($C$44)/2)*$E$65*O60)</f>
        <v>#DIV/0!</v>
      </c>
      <c r="P56" s="108" t="e">
        <f>INT((($D$9-SUM($C$51:O51))*($C$44)/2)*$E$65*P60)</f>
        <v>#DIV/0!</v>
      </c>
      <c r="Q56" s="108" t="e">
        <f>INT((($D$9-SUM($C$51:P51))*($C$44)/2)*$E$65*Q60)</f>
        <v>#DIV/0!</v>
      </c>
      <c r="R56" s="108" t="e">
        <f>INT((($D$9-SUM($C$51:Q51))*($C$44)/2)*$E$65*R60)</f>
        <v>#DIV/0!</v>
      </c>
      <c r="S56" s="113" t="e">
        <f>INT((($D$9-SUM($C$51:R51))*($C$44)/2)*$E$65*S60)</f>
        <v>#DIV/0!</v>
      </c>
      <c r="T56" s="108" t="e">
        <f>INT((($D$9-SUM($C$51:S51))*($C$44)/2)*$E$65*T60)</f>
        <v>#DIV/0!</v>
      </c>
      <c r="U56" s="108" t="e">
        <f>INT((($D$9-SUM($C$51:T51))*($C$44)/2)*$E$65*U60)</f>
        <v>#DIV/0!</v>
      </c>
      <c r="V56" s="14" t="s">
        <v>198</v>
      </c>
    </row>
    <row r="59" spans="1:29">
      <c r="B59" s="16" t="s">
        <v>200</v>
      </c>
      <c r="C59" s="15">
        <f>IF(C47=$I$64,IF($H$64=1,1,0),0)</f>
        <v>1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5">IF(F47=$I$64,IF($H$64=1,1,0),0)</f>
        <v>0</v>
      </c>
      <c r="G59" s="15">
        <f t="shared" si="25"/>
        <v>0</v>
      </c>
      <c r="H59" s="15">
        <f t="shared" si="25"/>
        <v>0</v>
      </c>
      <c r="I59" s="15">
        <f t="shared" si="25"/>
        <v>0</v>
      </c>
      <c r="J59" s="15">
        <f t="shared" si="25"/>
        <v>0</v>
      </c>
      <c r="K59" s="15">
        <f t="shared" si="25"/>
        <v>0</v>
      </c>
      <c r="L59" s="15">
        <f t="shared" si="25"/>
        <v>0</v>
      </c>
      <c r="M59" s="15">
        <f t="shared" si="25"/>
        <v>0</v>
      </c>
      <c r="N59" s="15">
        <f t="shared" si="25"/>
        <v>0</v>
      </c>
      <c r="O59" s="15">
        <f t="shared" si="25"/>
        <v>0</v>
      </c>
      <c r="P59" s="15">
        <f t="shared" si="25"/>
        <v>0</v>
      </c>
      <c r="Q59" s="15">
        <f t="shared" si="25"/>
        <v>0</v>
      </c>
      <c r="R59" s="15">
        <f t="shared" si="25"/>
        <v>0</v>
      </c>
      <c r="S59" s="15">
        <f t="shared" si="25"/>
        <v>0</v>
      </c>
      <c r="T59" s="15">
        <f t="shared" si="25"/>
        <v>0</v>
      </c>
      <c r="U59" s="15">
        <f t="shared" si="25"/>
        <v>0</v>
      </c>
      <c r="V59" s="78"/>
    </row>
    <row r="60" spans="1:29">
      <c r="B60" s="114" t="s">
        <v>201</v>
      </c>
      <c r="C60" s="115">
        <f t="shared" ref="C60:M60" si="26">IF(C47=$I$65,IF($H$65=1,1,0),0)</f>
        <v>1</v>
      </c>
      <c r="D60" s="115">
        <f t="shared" si="26"/>
        <v>0</v>
      </c>
      <c r="E60" s="115">
        <f t="shared" si="26"/>
        <v>0</v>
      </c>
      <c r="F60" s="115">
        <f t="shared" si="26"/>
        <v>0</v>
      </c>
      <c r="G60" s="115">
        <f t="shared" si="26"/>
        <v>0</v>
      </c>
      <c r="H60" s="115">
        <f t="shared" si="26"/>
        <v>0</v>
      </c>
      <c r="I60" s="115">
        <f t="shared" si="26"/>
        <v>0</v>
      </c>
      <c r="J60" s="115">
        <f t="shared" si="26"/>
        <v>0</v>
      </c>
      <c r="K60" s="115">
        <f t="shared" si="26"/>
        <v>0</v>
      </c>
      <c r="L60" s="115">
        <f t="shared" si="26"/>
        <v>0</v>
      </c>
      <c r="M60" s="115">
        <f t="shared" si="26"/>
        <v>0</v>
      </c>
      <c r="N60" s="115">
        <f>IF(N47=$I$65,IF($H$65=1,1,0),0)</f>
        <v>0</v>
      </c>
      <c r="O60" s="115">
        <f t="shared" ref="O60:U60" si="27">IF(O47=$I$65,IF($H$65=1,1,0),0)</f>
        <v>0</v>
      </c>
      <c r="P60" s="115">
        <f t="shared" si="27"/>
        <v>0</v>
      </c>
      <c r="Q60" s="115">
        <f t="shared" si="27"/>
        <v>0</v>
      </c>
      <c r="R60" s="115">
        <f t="shared" si="27"/>
        <v>0</v>
      </c>
      <c r="S60" s="115">
        <f t="shared" si="27"/>
        <v>0</v>
      </c>
      <c r="T60" s="115">
        <f t="shared" si="27"/>
        <v>0</v>
      </c>
      <c r="U60" s="115">
        <f t="shared" si="27"/>
        <v>0</v>
      </c>
      <c r="V60" s="78"/>
    </row>
    <row r="61" spans="1:29">
      <c r="A61" s="78"/>
      <c r="B61" s="116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78"/>
      <c r="Q61" s="78"/>
      <c r="R61" s="180"/>
    </row>
    <row r="62" spans="1:29">
      <c r="A62" s="78"/>
      <c r="B62" s="117" t="s">
        <v>175</v>
      </c>
      <c r="C62" s="114"/>
      <c r="D62" s="114">
        <f t="shared" ref="D62:P62" si="28">IF($H$65=1,$D$9*$F$10*D60,IF(D49=1,0,IF(E49=1,$D$9*$F$10,0)))</f>
        <v>0</v>
      </c>
      <c r="E62" s="114">
        <f t="shared" si="28"/>
        <v>0</v>
      </c>
      <c r="F62" s="114">
        <f t="shared" si="28"/>
        <v>0</v>
      </c>
      <c r="G62" s="114">
        <f t="shared" si="28"/>
        <v>0</v>
      </c>
      <c r="H62" s="114">
        <f t="shared" si="28"/>
        <v>0</v>
      </c>
      <c r="I62" s="114">
        <f t="shared" si="28"/>
        <v>0</v>
      </c>
      <c r="J62" s="114">
        <f t="shared" si="28"/>
        <v>0</v>
      </c>
      <c r="K62" s="114">
        <f t="shared" si="28"/>
        <v>0</v>
      </c>
      <c r="L62" s="114">
        <f t="shared" si="28"/>
        <v>0</v>
      </c>
      <c r="M62" s="114">
        <f t="shared" si="28"/>
        <v>0</v>
      </c>
      <c r="N62" s="114">
        <f t="shared" si="28"/>
        <v>0</v>
      </c>
      <c r="O62" s="114">
        <f t="shared" si="28"/>
        <v>0</v>
      </c>
      <c r="P62" s="114">
        <f t="shared" si="28"/>
        <v>0</v>
      </c>
      <c r="Q62" s="114">
        <f>IF($H$65=1,$D$9*$F$10*Q60,IF(Q49=1,0,IF(R49=1,$D$9*$F$10,0)))</f>
        <v>0</v>
      </c>
      <c r="R62" s="114">
        <f t="shared" ref="R62:U62" si="29">IF($H$65=1,$D$9*$F$10*R60,IF(R49=1,0,IF(S49=1,$D$9*$F$10,0)))</f>
        <v>0</v>
      </c>
      <c r="S62" s="114">
        <f t="shared" si="29"/>
        <v>0</v>
      </c>
      <c r="T62" s="114">
        <f t="shared" si="29"/>
        <v>0</v>
      </c>
      <c r="U62" s="114">
        <f t="shared" si="29"/>
        <v>0</v>
      </c>
    </row>
    <row r="63" spans="1:29">
      <c r="A63" s="78"/>
      <c r="B63" s="11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78"/>
      <c r="Q63" s="78"/>
    </row>
    <row r="64" spans="1:29">
      <c r="A64" s="78"/>
      <c r="B64" s="116"/>
      <c r="C64" s="222"/>
      <c r="D64" s="222"/>
      <c r="E64" s="304" t="s">
        <v>100</v>
      </c>
      <c r="F64" s="304"/>
      <c r="G64" s="304"/>
      <c r="H64" s="222">
        <f>VLOOKUP(A45,B86:E97,4)</f>
        <v>1</v>
      </c>
      <c r="I64" s="222">
        <f>IF(D11&gt;$G$114,$G$114,D11)*2+H64</f>
        <v>1</v>
      </c>
      <c r="J64" s="222"/>
      <c r="K64" s="222"/>
      <c r="L64" s="222"/>
      <c r="M64" s="222"/>
      <c r="N64" s="222"/>
      <c r="O64" s="222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2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</v>
      </c>
      <c r="J65" s="222"/>
      <c r="K65" s="222"/>
      <c r="L65" s="222"/>
      <c r="M65" s="222"/>
      <c r="N65" s="222"/>
      <c r="O65" s="222"/>
      <c r="P65" s="78"/>
      <c r="Q65" s="78"/>
    </row>
    <row r="66" spans="1:22">
      <c r="A66" s="78"/>
      <c r="B66" s="11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30">C39</f>
        <v>0</v>
      </c>
      <c r="H74" s="130">
        <f t="shared" si="30"/>
        <v>0</v>
      </c>
      <c r="I74" s="130">
        <f t="shared" si="30"/>
        <v>0</v>
      </c>
      <c r="J74" s="130">
        <f t="shared" si="30"/>
        <v>0</v>
      </c>
      <c r="K74" s="130">
        <f t="shared" si="30"/>
        <v>0</v>
      </c>
      <c r="L74" s="130">
        <f t="shared" si="30"/>
        <v>0</v>
      </c>
      <c r="M74" s="130">
        <f t="shared" si="30"/>
        <v>0</v>
      </c>
      <c r="N74" s="130">
        <f t="shared" si="30"/>
        <v>0</v>
      </c>
      <c r="O74" s="130">
        <f t="shared" si="30"/>
        <v>0</v>
      </c>
      <c r="P74" s="130">
        <f t="shared" si="30"/>
        <v>0</v>
      </c>
      <c r="Q74" s="130">
        <f t="shared" si="30"/>
        <v>0</v>
      </c>
      <c r="R74" s="130">
        <f t="shared" si="30"/>
        <v>0</v>
      </c>
      <c r="S74" s="130">
        <f t="shared" si="30"/>
        <v>0</v>
      </c>
      <c r="T74" s="130">
        <f t="shared" si="30"/>
        <v>0</v>
      </c>
      <c r="U74" s="130">
        <f t="shared" si="30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1">C41</f>
        <v>0</v>
      </c>
      <c r="H75" s="130">
        <f t="shared" si="31"/>
        <v>0</v>
      </c>
      <c r="I75" s="130">
        <f t="shared" si="31"/>
        <v>0</v>
      </c>
      <c r="J75" s="130">
        <f t="shared" si="31"/>
        <v>0</v>
      </c>
      <c r="K75" s="130">
        <f t="shared" si="31"/>
        <v>0</v>
      </c>
      <c r="L75" s="130">
        <f t="shared" si="31"/>
        <v>0</v>
      </c>
      <c r="M75" s="130">
        <f t="shared" si="31"/>
        <v>0</v>
      </c>
      <c r="N75" s="130">
        <f t="shared" si="31"/>
        <v>0</v>
      </c>
      <c r="O75" s="130">
        <f t="shared" si="31"/>
        <v>0</v>
      </c>
      <c r="P75" s="130">
        <f t="shared" si="31"/>
        <v>0</v>
      </c>
      <c r="Q75" s="130">
        <f t="shared" si="31"/>
        <v>0</v>
      </c>
      <c r="R75" s="130">
        <f t="shared" si="31"/>
        <v>0</v>
      </c>
      <c r="S75" s="130">
        <f t="shared" si="31"/>
        <v>0</v>
      </c>
      <c r="T75" s="130">
        <f t="shared" si="31"/>
        <v>0</v>
      </c>
      <c r="U75" s="130">
        <f t="shared" si="31"/>
        <v>0</v>
      </c>
      <c r="V75" s="130">
        <f>V41</f>
        <v>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1900</v>
      </c>
      <c r="C98" s="152">
        <f>MONTH(D12)</f>
        <v>1</v>
      </c>
      <c r="E98" s="14">
        <f>D11*2+VLOOKUP(MONTH(D12),B86:E97,4)</f>
        <v>1</v>
      </c>
    </row>
    <row r="99" spans="2:11">
      <c r="B99" s="14">
        <f>B98+VLOOKUP(C98,B86:D97,3)</f>
        <v>1900</v>
      </c>
      <c r="C99" s="14">
        <f>VLOOKUP(C98,B86:C97,2)</f>
        <v>3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0.05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0.01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3" t="s">
        <v>102</v>
      </c>
      <c r="D113" s="158" t="s">
        <v>127</v>
      </c>
      <c r="F113" s="223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2">C28</f>
        <v>61</v>
      </c>
      <c r="D122" s="159">
        <f t="shared" si="32"/>
        <v>245</v>
      </c>
      <c r="E122" s="159">
        <f t="shared" si="32"/>
        <v>426</v>
      </c>
      <c r="F122" s="159">
        <f t="shared" si="32"/>
        <v>610</v>
      </c>
      <c r="G122" s="159">
        <f t="shared" si="32"/>
        <v>791</v>
      </c>
      <c r="H122" s="159">
        <f t="shared" si="32"/>
        <v>975</v>
      </c>
      <c r="I122" s="159">
        <f t="shared" si="32"/>
        <v>1156</v>
      </c>
      <c r="J122" s="159">
        <f t="shared" si="32"/>
        <v>1340</v>
      </c>
      <c r="K122" s="159">
        <f t="shared" si="32"/>
        <v>1522</v>
      </c>
      <c r="L122" s="159">
        <f t="shared" si="32"/>
        <v>1706</v>
      </c>
      <c r="M122" s="159">
        <f t="shared" si="32"/>
        <v>1887</v>
      </c>
      <c r="N122" s="159">
        <f t="shared" si="32"/>
        <v>2071</v>
      </c>
      <c r="O122" s="159">
        <f t="shared" si="32"/>
        <v>2252</v>
      </c>
      <c r="P122" s="159">
        <f t="shared" si="32"/>
        <v>2436</v>
      </c>
      <c r="Q122" s="159">
        <f t="shared" si="32"/>
        <v>2617</v>
      </c>
      <c r="R122" s="159">
        <f t="shared" si="32"/>
        <v>2801</v>
      </c>
      <c r="S122" s="159">
        <f t="shared" si="32"/>
        <v>2983</v>
      </c>
      <c r="T122" s="159">
        <f t="shared" si="32"/>
        <v>3167</v>
      </c>
      <c r="U122" s="159">
        <f t="shared" si="32"/>
        <v>3348</v>
      </c>
    </row>
    <row r="123" spans="1:22">
      <c r="B123" s="163" t="s">
        <v>122</v>
      </c>
      <c r="C123" s="159" t="e">
        <f>EDATE(C122,-6)</f>
        <v>#NUM!</v>
      </c>
      <c r="D123" s="159">
        <f t="shared" ref="D123:U123" si="33">EDATE(D122,-6)</f>
        <v>61</v>
      </c>
      <c r="E123" s="159">
        <f t="shared" si="33"/>
        <v>245</v>
      </c>
      <c r="F123" s="159">
        <f t="shared" si="33"/>
        <v>426</v>
      </c>
      <c r="G123" s="159">
        <f t="shared" si="33"/>
        <v>610</v>
      </c>
      <c r="H123" s="159">
        <f t="shared" si="33"/>
        <v>791</v>
      </c>
      <c r="I123" s="159">
        <f t="shared" si="33"/>
        <v>975</v>
      </c>
      <c r="J123" s="159">
        <f t="shared" si="33"/>
        <v>1156</v>
      </c>
      <c r="K123" s="159">
        <f t="shared" si="33"/>
        <v>1340</v>
      </c>
      <c r="L123" s="159">
        <f t="shared" si="33"/>
        <v>1522</v>
      </c>
      <c r="M123" s="159">
        <f t="shared" si="33"/>
        <v>1706</v>
      </c>
      <c r="N123" s="159">
        <f t="shared" si="33"/>
        <v>1887</v>
      </c>
      <c r="O123" s="159">
        <f t="shared" si="33"/>
        <v>2071</v>
      </c>
      <c r="P123" s="159">
        <f t="shared" si="33"/>
        <v>2252</v>
      </c>
      <c r="Q123" s="159">
        <f t="shared" si="33"/>
        <v>2436</v>
      </c>
      <c r="R123" s="159">
        <f t="shared" si="33"/>
        <v>2617</v>
      </c>
      <c r="S123" s="159">
        <f t="shared" si="33"/>
        <v>2801</v>
      </c>
      <c r="T123" s="159">
        <f t="shared" si="33"/>
        <v>2983</v>
      </c>
      <c r="U123" s="159">
        <f t="shared" si="33"/>
        <v>3167</v>
      </c>
    </row>
    <row r="124" spans="1:22" s="77" customFormat="1">
      <c r="A124" s="222"/>
      <c r="B124" s="177" t="s">
        <v>56</v>
      </c>
      <c r="C124" s="114">
        <f t="shared" ref="C124:U124" si="34">C39</f>
        <v>0</v>
      </c>
      <c r="D124" s="114">
        <f t="shared" si="34"/>
        <v>0</v>
      </c>
      <c r="E124" s="114">
        <f t="shared" si="34"/>
        <v>0</v>
      </c>
      <c r="F124" s="114">
        <f t="shared" si="34"/>
        <v>0</v>
      </c>
      <c r="G124" s="114">
        <f t="shared" si="34"/>
        <v>0</v>
      </c>
      <c r="H124" s="114">
        <f t="shared" si="34"/>
        <v>0</v>
      </c>
      <c r="I124" s="114">
        <f t="shared" si="34"/>
        <v>0</v>
      </c>
      <c r="J124" s="114">
        <f t="shared" si="34"/>
        <v>0</v>
      </c>
      <c r="K124" s="114">
        <f t="shared" si="34"/>
        <v>0</v>
      </c>
      <c r="L124" s="114">
        <f t="shared" si="34"/>
        <v>0</v>
      </c>
      <c r="M124" s="114">
        <f t="shared" si="34"/>
        <v>0</v>
      </c>
      <c r="N124" s="114">
        <f t="shared" si="34"/>
        <v>0</v>
      </c>
      <c r="O124" s="114">
        <f t="shared" si="34"/>
        <v>0</v>
      </c>
      <c r="P124" s="114">
        <f t="shared" si="34"/>
        <v>0</v>
      </c>
      <c r="Q124" s="114">
        <f t="shared" si="34"/>
        <v>0</v>
      </c>
      <c r="R124" s="114">
        <f t="shared" si="34"/>
        <v>0</v>
      </c>
      <c r="S124" s="114">
        <f t="shared" si="34"/>
        <v>0</v>
      </c>
      <c r="T124" s="114">
        <f t="shared" si="34"/>
        <v>0</v>
      </c>
      <c r="U124" s="114">
        <f t="shared" si="34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B27:B29"/>
    <mergeCell ref="V27:V29"/>
    <mergeCell ref="V39:V40"/>
    <mergeCell ref="R44:U44"/>
    <mergeCell ref="E64:G64"/>
    <mergeCell ref="G21:G22"/>
    <mergeCell ref="I21:M21"/>
    <mergeCell ref="I22:M22"/>
    <mergeCell ref="G23:H24"/>
    <mergeCell ref="I23:M23"/>
    <mergeCell ref="I24:M24"/>
    <mergeCell ref="G18:H18"/>
    <mergeCell ref="I18:M18"/>
    <mergeCell ref="G19:H19"/>
    <mergeCell ref="I19:M19"/>
    <mergeCell ref="G20:H20"/>
    <mergeCell ref="I20:M20"/>
    <mergeCell ref="A13:C13"/>
    <mergeCell ref="D13:E13"/>
    <mergeCell ref="F15:O15"/>
    <mergeCell ref="F16:M16"/>
    <mergeCell ref="N16:O17"/>
    <mergeCell ref="G17:H17"/>
    <mergeCell ref="I17:M1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:R1"/>
    <mergeCell ref="K2:Q2"/>
    <mergeCell ref="A4:N4"/>
    <mergeCell ref="A5:N5"/>
    <mergeCell ref="B7:C7"/>
    <mergeCell ref="D7:E7"/>
  </mergeCells>
  <phoneticPr fontId="17"/>
  <conditionalFormatting sqref="H26:U26">
    <cfRule type="expression" dxfId="71" priority="14" stopIfTrue="1">
      <formula>$N$49=$E$99</formula>
    </cfRule>
    <cfRule type="cellIs" dxfId="70" priority="15" stopIfTrue="1" operator="equal">
      <formula>$E$99=$N$49</formula>
    </cfRule>
    <cfRule type="cellIs" dxfId="69" priority="16" stopIfTrue="1" operator="equal">
      <formula>$N$49=$E$99</formula>
    </cfRule>
  </conditionalFormatting>
  <conditionalFormatting sqref="P26">
    <cfRule type="expression" dxfId="68" priority="13" stopIfTrue="1">
      <formula>$P$49=$E$99</formula>
    </cfRule>
  </conditionalFormatting>
  <conditionalFormatting sqref="Q26">
    <cfRule type="expression" dxfId="67" priority="12" stopIfTrue="1">
      <formula>$Q$49=$E$99</formula>
    </cfRule>
  </conditionalFormatting>
  <conditionalFormatting sqref="R26">
    <cfRule type="expression" dxfId="66" priority="10" stopIfTrue="1">
      <formula>$R$49=$E$99</formula>
    </cfRule>
    <cfRule type="cellIs" dxfId="65" priority="11" stopIfTrue="1" operator="equal">
      <formula>$R$49=$E$99</formula>
    </cfRule>
  </conditionalFormatting>
  <conditionalFormatting sqref="S26">
    <cfRule type="expression" dxfId="64" priority="9" stopIfTrue="1">
      <formula>$S$49=$E$99</formula>
    </cfRule>
  </conditionalFormatting>
  <conditionalFormatting sqref="T26">
    <cfRule type="expression" dxfId="63" priority="8" stopIfTrue="1">
      <formula>$T$49=$E$99</formula>
    </cfRule>
  </conditionalFormatting>
  <conditionalFormatting sqref="U26">
    <cfRule type="expression" dxfId="62" priority="7" stopIfTrue="1">
      <formula>$U$49=$E$99</formula>
    </cfRule>
  </conditionalFormatting>
  <conditionalFormatting sqref="M26">
    <cfRule type="expression" dxfId="61" priority="6" stopIfTrue="1">
      <formula>$M$49=$E$99</formula>
    </cfRule>
  </conditionalFormatting>
  <conditionalFormatting sqref="L26">
    <cfRule type="expression" dxfId="60" priority="5" stopIfTrue="1">
      <formula>$L$49=$E$99</formula>
    </cfRule>
  </conditionalFormatting>
  <conditionalFormatting sqref="H26:U26">
    <cfRule type="expression" dxfId="59" priority="4" stopIfTrue="1">
      <formula>$H$49=$E$99</formula>
    </cfRule>
  </conditionalFormatting>
  <conditionalFormatting sqref="I26">
    <cfRule type="expression" dxfId="58" priority="3" stopIfTrue="1">
      <formula>$I$49=$E$99</formula>
    </cfRule>
  </conditionalFormatting>
  <conditionalFormatting sqref="J26">
    <cfRule type="expression" dxfId="57" priority="2" stopIfTrue="1">
      <formula>$J$49=$E$99</formula>
    </cfRule>
  </conditionalFormatting>
  <conditionalFormatting sqref="K26">
    <cfRule type="expression" dxfId="56" priority="1" stopIfTrue="1">
      <formula>$K$49=$E$99</formula>
    </cfRule>
  </conditionalFormatting>
  <conditionalFormatting sqref="O26:U26">
    <cfRule type="expression" dxfId="55" priority="17" stopIfTrue="1">
      <formula>$O$49=$E$99</formula>
    </cfRule>
    <cfRule type="expression" dxfId="54" priority="18" stopIfTrue="1">
      <formula>$O$4=$E$99</formula>
    </cfRule>
  </conditionalFormatting>
  <dataValidations count="2">
    <dataValidation type="whole" allowBlank="1" showInputMessage="1" showErrorMessage="1" sqref="D13:E13" xr:uid="{5FB6E6C2-362E-42F9-ABEB-59FEE64A185A}">
      <formula1>1</formula1>
      <formula2>7</formula2>
    </dataValidation>
    <dataValidation type="whole" errorStyle="warning" operator="greaterThanOrEqual" allowBlank="1" showInputMessage="1" showErrorMessage="1" error="入力し直し" sqref="E7 D7:D10" xr:uid="{52B079AF-1858-4CED-B5D7-B5268CEA5D8B}">
      <formula1>100000</formula1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6F3E-BB45-4E97-BD9B-0AEBB57CC742}">
  <sheetPr>
    <pageSetUpPr fitToPage="1"/>
  </sheetPr>
  <dimension ref="A1:AH125"/>
  <sheetViews>
    <sheetView showZeros="0" view="pageBreakPreview" topLeftCell="A105" zoomScale="80" zoomScaleNormal="100" zoomScaleSheetLayoutView="80" workbookViewId="0">
      <selection activeCell="C124" sqref="C124:U124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'信用保険料計算書（上限2000万）'!M9</f>
        <v>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'信用保険料計算書（上限2000万）'!M10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'信用保険料計算書（上限2000万）'!M11</f>
        <v>0.1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'信用保険料計算書（上限2000万）'!M14</f>
        <v>0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'信用保険料計算書（上限2000万）'!M15</f>
        <v>0</v>
      </c>
      <c r="E12" s="283"/>
      <c r="F12" s="12" t="s">
        <v>29</v>
      </c>
      <c r="G12" s="286">
        <f>IF(D12="","",EDATE(D12,D11*12)-1)</f>
        <v>-1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25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25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24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171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16</v>
      </c>
    </row>
    <row r="28" spans="2:22" s="17" customFormat="1" ht="14.4" customHeight="1">
      <c r="B28" s="299"/>
      <c r="C28" s="45">
        <f>DATE(B99,C99,1)</f>
        <v>61</v>
      </c>
      <c r="D28" s="46">
        <f>EDATE(C28,6)</f>
        <v>245</v>
      </c>
      <c r="E28" s="46">
        <f>EDATE(D28,6)</f>
        <v>426</v>
      </c>
      <c r="F28" s="46">
        <f>EDATE(E28,6)</f>
        <v>610</v>
      </c>
      <c r="G28" s="46">
        <f>EDATE(F28,6)</f>
        <v>791</v>
      </c>
      <c r="H28" s="46">
        <f t="shared" ref="H28:U28" si="1">EDATE(G28,6)</f>
        <v>975</v>
      </c>
      <c r="I28" s="46">
        <f t="shared" si="1"/>
        <v>1156</v>
      </c>
      <c r="J28" s="46">
        <f t="shared" si="1"/>
        <v>1340</v>
      </c>
      <c r="K28" s="46">
        <f t="shared" si="1"/>
        <v>1522</v>
      </c>
      <c r="L28" s="46">
        <f t="shared" si="1"/>
        <v>1706</v>
      </c>
      <c r="M28" s="46">
        <f t="shared" si="1"/>
        <v>1887</v>
      </c>
      <c r="N28" s="46">
        <f t="shared" si="1"/>
        <v>2071</v>
      </c>
      <c r="O28" s="46">
        <f t="shared" si="1"/>
        <v>2252</v>
      </c>
      <c r="P28" s="46">
        <f t="shared" si="1"/>
        <v>2436</v>
      </c>
      <c r="Q28" s="46">
        <f t="shared" si="1"/>
        <v>2617</v>
      </c>
      <c r="R28" s="46">
        <f t="shared" si="1"/>
        <v>2801</v>
      </c>
      <c r="S28" s="46">
        <f t="shared" si="1"/>
        <v>2983</v>
      </c>
      <c r="T28" s="46">
        <f t="shared" si="1"/>
        <v>3167</v>
      </c>
      <c r="U28" s="47">
        <f t="shared" si="1"/>
        <v>3348</v>
      </c>
      <c r="V28" s="299"/>
    </row>
    <row r="29" spans="2:22" s="17" customFormat="1" ht="14.4" customHeight="1">
      <c r="B29" s="300"/>
      <c r="C29" s="9" t="s">
        <v>172</v>
      </c>
      <c r="D29" s="10" t="s">
        <v>172</v>
      </c>
      <c r="E29" s="10" t="s">
        <v>172</v>
      </c>
      <c r="F29" s="10" t="s">
        <v>172</v>
      </c>
      <c r="G29" s="10" t="s">
        <v>172</v>
      </c>
      <c r="H29" s="10" t="s">
        <v>172</v>
      </c>
      <c r="I29" s="10" t="s">
        <v>172</v>
      </c>
      <c r="J29" s="10" t="s">
        <v>172</v>
      </c>
      <c r="K29" s="10" t="s">
        <v>172</v>
      </c>
      <c r="L29" s="10" t="s">
        <v>172</v>
      </c>
      <c r="M29" s="10" t="s">
        <v>172</v>
      </c>
      <c r="N29" s="10" t="s">
        <v>172</v>
      </c>
      <c r="O29" s="10" t="s">
        <v>172</v>
      </c>
      <c r="P29" s="10" t="s">
        <v>172</v>
      </c>
      <c r="Q29" s="10" t="s">
        <v>172</v>
      </c>
      <c r="R29" s="10" t="s">
        <v>172</v>
      </c>
      <c r="S29" s="10" t="s">
        <v>172</v>
      </c>
      <c r="T29" s="10" t="s">
        <v>172</v>
      </c>
      <c r="U29" s="11" t="s">
        <v>172</v>
      </c>
      <c r="V29" s="300"/>
    </row>
    <row r="30" spans="2:22" ht="22.2" customHeight="1">
      <c r="B30" s="48" t="s">
        <v>173</v>
      </c>
      <c r="C30" s="49" t="e">
        <f t="shared" ref="C30:U31" si="2">C51+C54</f>
        <v>#DIV/0!</v>
      </c>
      <c r="D30" s="50" t="e">
        <f t="shared" si="2"/>
        <v>#DIV/0!</v>
      </c>
      <c r="E30" s="50" t="e">
        <f t="shared" si="2"/>
        <v>#DIV/0!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50">
        <f t="shared" si="2"/>
        <v>0</v>
      </c>
      <c r="U30" s="51">
        <f t="shared" si="2"/>
        <v>0</v>
      </c>
      <c r="V30" s="52" t="e">
        <f t="shared" ref="V30:V35" si="3">SUM(C30:U30)</f>
        <v>#DIV/0!</v>
      </c>
    </row>
    <row r="31" spans="2:22" ht="22.2" customHeight="1">
      <c r="B31" s="53" t="s">
        <v>174</v>
      </c>
      <c r="C31" s="54" t="e">
        <f t="shared" si="2"/>
        <v>#DIV/0!</v>
      </c>
      <c r="D31" s="54" t="e">
        <f t="shared" si="2"/>
        <v>#DIV/0!</v>
      </c>
      <c r="E31" s="54" t="e">
        <f t="shared" si="2"/>
        <v>#DIV/0!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>J52+J55</f>
        <v>0</v>
      </c>
      <c r="K31" s="54">
        <f>K52+K55</f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5">
        <f t="shared" si="2"/>
        <v>0</v>
      </c>
      <c r="V31" s="56" t="e">
        <f t="shared" si="3"/>
        <v>#DIV/0!</v>
      </c>
    </row>
    <row r="32" spans="2:22" ht="22.2" customHeight="1">
      <c r="B32" s="48" t="s">
        <v>175</v>
      </c>
      <c r="C32" s="49"/>
      <c r="D32" s="50">
        <f t="shared" ref="D32:N32" si="4">D62</f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O62</f>
        <v>0</v>
      </c>
      <c r="P32" s="50">
        <f t="shared" ref="P32:U32" si="5">P62</f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51">
        <f t="shared" si="5"/>
        <v>0</v>
      </c>
      <c r="V32" s="52">
        <f t="shared" si="3"/>
        <v>0</v>
      </c>
    </row>
    <row r="33" spans="1:34" ht="22.2" customHeight="1">
      <c r="B33" s="53" t="s">
        <v>176</v>
      </c>
      <c r="C33" s="57"/>
      <c r="D33" s="54">
        <f t="shared" ref="D33:N33" si="6">D32*$E$106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>INT(O32*$E$106)</f>
        <v>0</v>
      </c>
      <c r="P33" s="54">
        <f t="shared" ref="P33:U33" si="7">P32*$E$106</f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5">
        <f t="shared" si="7"/>
        <v>0</v>
      </c>
      <c r="V33" s="56">
        <f t="shared" si="3"/>
        <v>0</v>
      </c>
    </row>
    <row r="34" spans="1:34" ht="36" customHeight="1">
      <c r="B34" s="58" t="s">
        <v>177</v>
      </c>
      <c r="C34" s="59">
        <f t="shared" ref="C34:U34" si="8">IF($D$13=6,0,IF($D$13=7,0,(C53+C56)))</f>
        <v>0</v>
      </c>
      <c r="D34" s="60">
        <f t="shared" si="8"/>
        <v>0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 t="shared" si="8"/>
        <v>#DIV/0!</v>
      </c>
      <c r="O34" s="60" t="e">
        <f t="shared" si="8"/>
        <v>#DIV/0!</v>
      </c>
      <c r="P34" s="60" t="e">
        <f t="shared" si="8"/>
        <v>#DIV/0!</v>
      </c>
      <c r="Q34" s="60" t="e">
        <f t="shared" si="8"/>
        <v>#DIV/0!</v>
      </c>
      <c r="R34" s="60" t="e">
        <f t="shared" si="8"/>
        <v>#DIV/0!</v>
      </c>
      <c r="S34" s="60" t="e">
        <f t="shared" si="8"/>
        <v>#DIV/0!</v>
      </c>
      <c r="T34" s="60" t="e">
        <f t="shared" si="8"/>
        <v>#DIV/0!</v>
      </c>
      <c r="U34" s="61" t="e">
        <f t="shared" si="8"/>
        <v>#DIV/0!</v>
      </c>
      <c r="V34" s="62" t="e">
        <f t="shared" si="3"/>
        <v>#DIV/0!</v>
      </c>
    </row>
    <row r="35" spans="1:34" ht="22.2" customHeight="1">
      <c r="B35" s="63" t="s">
        <v>178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3"/>
        <v>0</v>
      </c>
    </row>
    <row r="36" spans="1:34" ht="25.2" customHeight="1">
      <c r="B36" s="65" t="s">
        <v>179</v>
      </c>
      <c r="C36" s="66" t="e">
        <f t="shared" ref="C36:V36" si="9">SUM(C30:C35)</f>
        <v>#DIV/0!</v>
      </c>
      <c r="D36" s="67" t="e">
        <f t="shared" si="9"/>
        <v>#DIV/0!</v>
      </c>
      <c r="E36" s="67" t="e">
        <f t="shared" si="9"/>
        <v>#DIV/0!</v>
      </c>
      <c r="F36" s="67" t="e">
        <f t="shared" si="9"/>
        <v>#DIV/0!</v>
      </c>
      <c r="G36" s="67" t="e">
        <f t="shared" si="9"/>
        <v>#DIV/0!</v>
      </c>
      <c r="H36" s="67" t="e">
        <f t="shared" si="9"/>
        <v>#DIV/0!</v>
      </c>
      <c r="I36" s="67" t="e">
        <f t="shared" si="9"/>
        <v>#DIV/0!</v>
      </c>
      <c r="J36" s="67" t="e">
        <f t="shared" si="9"/>
        <v>#DIV/0!</v>
      </c>
      <c r="K36" s="67" t="e">
        <f t="shared" si="9"/>
        <v>#DIV/0!</v>
      </c>
      <c r="L36" s="67" t="e">
        <f t="shared" si="9"/>
        <v>#DIV/0!</v>
      </c>
      <c r="M36" s="67" t="e">
        <f t="shared" si="9"/>
        <v>#DIV/0!</v>
      </c>
      <c r="N36" s="67" t="e">
        <f t="shared" si="9"/>
        <v>#DIV/0!</v>
      </c>
      <c r="O36" s="67" t="e">
        <f t="shared" si="9"/>
        <v>#DIV/0!</v>
      </c>
      <c r="P36" s="67" t="e">
        <f t="shared" si="9"/>
        <v>#DIV/0!</v>
      </c>
      <c r="Q36" s="67" t="e">
        <f t="shared" si="9"/>
        <v>#DIV/0!</v>
      </c>
      <c r="R36" s="67" t="e">
        <f t="shared" si="9"/>
        <v>#DIV/0!</v>
      </c>
      <c r="S36" s="67" t="e">
        <f t="shared" si="9"/>
        <v>#DIV/0!</v>
      </c>
      <c r="T36" s="67" t="e">
        <f t="shared" si="9"/>
        <v>#DIV/0!</v>
      </c>
      <c r="U36" s="68" t="e">
        <f t="shared" si="9"/>
        <v>#DIV/0!</v>
      </c>
      <c r="V36" s="62" t="e">
        <f t="shared" si="9"/>
        <v>#DIV/0!</v>
      </c>
    </row>
    <row r="37" spans="1:34" ht="18.600000000000001" customHeight="1"/>
    <row r="38" spans="1:34" ht="17.399999999999999" customHeight="1">
      <c r="B38" s="69" t="s">
        <v>180</v>
      </c>
      <c r="E38" s="70"/>
      <c r="I38" s="71" t="s">
        <v>181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2"/>
      <c r="B39" s="74" t="s">
        <v>182</v>
      </c>
      <c r="C39" s="75">
        <f>IF(DATEVALUE("2018/3/31")&lt;$D$12,INT(D9*(1+$E$106)),D9)</f>
        <v>0</v>
      </c>
      <c r="D39" s="76">
        <f>IF(AND(D48=0,D59=0),(C39-(C30+C31)),IF(AND(D48=1,D59=1),(C39-(C30+C31)),0))</f>
        <v>0</v>
      </c>
      <c r="E39" s="76">
        <f>IF(AND(E48=0,E59=0),(D39-(D30+D31)),IF(AND(E48=1,E59=1),(D39-(D30+D31)),0))</f>
        <v>0</v>
      </c>
      <c r="F39" s="76">
        <f t="shared" ref="F39:U39" si="10">IF(AND(F48=0,F59=0),(E39-(E30+E31)),IF(AND(F48=1,F59=1),(E39-(E30+E31)),0))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6">
        <f t="shared" si="10"/>
        <v>0</v>
      </c>
      <c r="P39" s="76">
        <f t="shared" si="10"/>
        <v>0</v>
      </c>
      <c r="Q39" s="76">
        <f t="shared" si="10"/>
        <v>0</v>
      </c>
      <c r="R39" s="76">
        <f t="shared" si="10"/>
        <v>0</v>
      </c>
      <c r="S39" s="76">
        <f t="shared" si="10"/>
        <v>0</v>
      </c>
      <c r="T39" s="76">
        <f t="shared" si="10"/>
        <v>0</v>
      </c>
      <c r="U39" s="76">
        <f t="shared" si="10"/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1">IF(C39&gt;$F$114,$F$114,C39)</f>
        <v>0</v>
      </c>
      <c r="D40" s="81">
        <f t="shared" si="11"/>
        <v>0</v>
      </c>
      <c r="E40" s="81">
        <f t="shared" si="11"/>
        <v>0</v>
      </c>
      <c r="F40" s="81">
        <f t="shared" si="11"/>
        <v>0</v>
      </c>
      <c r="G40" s="81">
        <f t="shared" si="11"/>
        <v>0</v>
      </c>
      <c r="H40" s="81">
        <f t="shared" si="11"/>
        <v>0</v>
      </c>
      <c r="I40" s="81">
        <f t="shared" si="11"/>
        <v>0</v>
      </c>
      <c r="J40" s="81">
        <f t="shared" si="11"/>
        <v>0</v>
      </c>
      <c r="K40" s="81">
        <f t="shared" si="11"/>
        <v>0</v>
      </c>
      <c r="L40" s="81">
        <f t="shared" si="11"/>
        <v>0</v>
      </c>
      <c r="M40" s="81">
        <f t="shared" si="11"/>
        <v>0</v>
      </c>
      <c r="N40" s="81">
        <f t="shared" si="11"/>
        <v>0</v>
      </c>
      <c r="O40" s="81">
        <f t="shared" si="11"/>
        <v>0</v>
      </c>
      <c r="P40" s="81">
        <f t="shared" si="11"/>
        <v>0</v>
      </c>
      <c r="Q40" s="81">
        <f t="shared" si="11"/>
        <v>0</v>
      </c>
      <c r="R40" s="82">
        <f t="shared" si="11"/>
        <v>0</v>
      </c>
      <c r="S40" s="83">
        <f t="shared" si="11"/>
        <v>0</v>
      </c>
      <c r="T40" s="83">
        <f t="shared" si="11"/>
        <v>0</v>
      </c>
      <c r="U40" s="84">
        <f t="shared" si="11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0</v>
      </c>
      <c r="D41" s="87">
        <f>IF(AND(D48=0,D59=0),INT(ROUNDDOWN(D40*0.0048/12,2)*6),IF(AND(D48=1,D59=1),INT(ROUNDDOWN((ROUNDDOWN(D40*0.0048/12,2))*6,0)*$E$65),0))</f>
        <v>0</v>
      </c>
      <c r="E41" s="87">
        <f t="shared" ref="E41:U41" si="12">IF(AND(E48=0,E59=0),INT(ROUNDDOWN(E40*0.0048/12,2)*6),IF(AND(E48=1,E59=1),INT(ROUNDDOWN((ROUNDDOWN(E40*0.0048/12,2))*6,0)*$E$65),0))</f>
        <v>0</v>
      </c>
      <c r="F41" s="87">
        <f t="shared" si="12"/>
        <v>0</v>
      </c>
      <c r="G41" s="87">
        <f t="shared" si="12"/>
        <v>0</v>
      </c>
      <c r="H41" s="87">
        <f t="shared" si="12"/>
        <v>0</v>
      </c>
      <c r="I41" s="87">
        <f t="shared" si="12"/>
        <v>0</v>
      </c>
      <c r="J41" s="87">
        <f t="shared" si="12"/>
        <v>0</v>
      </c>
      <c r="K41" s="87">
        <f t="shared" si="12"/>
        <v>0</v>
      </c>
      <c r="L41" s="87">
        <f t="shared" si="12"/>
        <v>0</v>
      </c>
      <c r="M41" s="87">
        <f t="shared" si="12"/>
        <v>0</v>
      </c>
      <c r="N41" s="87">
        <f t="shared" si="12"/>
        <v>0</v>
      </c>
      <c r="O41" s="87">
        <f t="shared" si="12"/>
        <v>0</v>
      </c>
      <c r="P41" s="87">
        <f t="shared" si="12"/>
        <v>0</v>
      </c>
      <c r="Q41" s="87">
        <f t="shared" si="12"/>
        <v>0</v>
      </c>
      <c r="R41" s="88">
        <f t="shared" si="12"/>
        <v>0</v>
      </c>
      <c r="S41" s="89">
        <f t="shared" si="12"/>
        <v>0</v>
      </c>
      <c r="T41" s="89">
        <f t="shared" si="12"/>
        <v>0</v>
      </c>
      <c r="U41" s="90">
        <f t="shared" si="12"/>
        <v>0</v>
      </c>
      <c r="V41" s="91">
        <f>SUM(C41:U41)</f>
        <v>0</v>
      </c>
    </row>
    <row r="42" spans="1:34" ht="24">
      <c r="A42" s="78"/>
      <c r="B42" s="92" t="s">
        <v>186</v>
      </c>
      <c r="C42" s="93">
        <f>IF(C39*0.95&gt;$F$114,$F$114,C39*0.95)</f>
        <v>0</v>
      </c>
      <c r="D42" s="94">
        <f>IF(D39*0.95&gt;$F$114,$F$114,D39*0.95)</f>
        <v>0</v>
      </c>
      <c r="E42" s="94">
        <f t="shared" ref="E42:U42" si="13">IF(E39*0.95&gt;$F$114,$F$114,E39*0.95)</f>
        <v>0</v>
      </c>
      <c r="F42" s="94">
        <f t="shared" si="13"/>
        <v>0</v>
      </c>
      <c r="G42" s="94">
        <f t="shared" si="13"/>
        <v>0</v>
      </c>
      <c r="H42" s="94">
        <f t="shared" si="13"/>
        <v>0</v>
      </c>
      <c r="I42" s="94">
        <f t="shared" si="13"/>
        <v>0</v>
      </c>
      <c r="J42" s="94">
        <f t="shared" si="13"/>
        <v>0</v>
      </c>
      <c r="K42" s="94">
        <f t="shared" si="13"/>
        <v>0</v>
      </c>
      <c r="L42" s="94">
        <f t="shared" si="13"/>
        <v>0</v>
      </c>
      <c r="M42" s="94">
        <f t="shared" si="13"/>
        <v>0</v>
      </c>
      <c r="N42" s="94">
        <f t="shared" si="13"/>
        <v>0</v>
      </c>
      <c r="O42" s="94">
        <f t="shared" si="13"/>
        <v>0</v>
      </c>
      <c r="P42" s="94">
        <f t="shared" si="13"/>
        <v>0</v>
      </c>
      <c r="Q42" s="94">
        <f t="shared" si="13"/>
        <v>0</v>
      </c>
      <c r="R42" s="95">
        <f t="shared" si="13"/>
        <v>0</v>
      </c>
      <c r="S42" s="96">
        <f t="shared" si="13"/>
        <v>0</v>
      </c>
      <c r="T42" s="96">
        <f t="shared" si="13"/>
        <v>0</v>
      </c>
      <c r="U42" s="97">
        <f t="shared" si="13"/>
        <v>0</v>
      </c>
      <c r="V42" s="62"/>
    </row>
    <row r="43" spans="1:34" ht="13.8" thickBot="1"/>
    <row r="44" spans="1:34" ht="16.8" thickBot="1">
      <c r="A44" s="98"/>
      <c r="B44" s="99" t="s">
        <v>187</v>
      </c>
      <c r="C44" s="100">
        <f>K106</f>
        <v>0.01</v>
      </c>
      <c r="R44" s="303" t="s">
        <v>188</v>
      </c>
      <c r="S44" s="303"/>
      <c r="T44" s="303"/>
      <c r="U44" s="303"/>
      <c r="V44" s="101" t="e">
        <f>V30+V32</f>
        <v>#DIV/0!</v>
      </c>
      <c r="W44" s="102" t="e">
        <f>IF(V44=D9,"OK","エラー")</f>
        <v>#DIV/0!</v>
      </c>
    </row>
    <row r="45" spans="1:34" ht="13.8" thickBot="1">
      <c r="A45" s="103">
        <f>MONTH(D12)</f>
        <v>1</v>
      </c>
      <c r="B45" s="14" t="s">
        <v>0</v>
      </c>
    </row>
    <row r="46" spans="1:34">
      <c r="A46" s="232"/>
    </row>
    <row r="47" spans="1:34">
      <c r="B47" s="14" t="s">
        <v>189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190</v>
      </c>
      <c r="C48" s="104">
        <f t="shared" ref="C48:U48" si="14">IF((IF($D$11&gt;$G$114,$G$114,$D$11)*2)&lt;C47,1,0)</f>
        <v>1</v>
      </c>
      <c r="D48" s="104">
        <f t="shared" si="14"/>
        <v>1</v>
      </c>
      <c r="E48" s="104">
        <f t="shared" si="14"/>
        <v>1</v>
      </c>
      <c r="F48" s="104">
        <f t="shared" si="14"/>
        <v>1</v>
      </c>
      <c r="G48" s="104">
        <f t="shared" si="14"/>
        <v>1</v>
      </c>
      <c r="H48" s="104">
        <f t="shared" si="14"/>
        <v>1</v>
      </c>
      <c r="I48" s="104">
        <f t="shared" si="14"/>
        <v>1</v>
      </c>
      <c r="J48" s="104">
        <f t="shared" si="14"/>
        <v>1</v>
      </c>
      <c r="K48" s="104">
        <f t="shared" si="14"/>
        <v>1</v>
      </c>
      <c r="L48" s="104">
        <f t="shared" si="14"/>
        <v>1</v>
      </c>
      <c r="M48" s="104">
        <f t="shared" si="14"/>
        <v>1</v>
      </c>
      <c r="N48" s="104">
        <f t="shared" si="14"/>
        <v>1</v>
      </c>
      <c r="O48" s="104">
        <f t="shared" si="14"/>
        <v>1</v>
      </c>
      <c r="P48" s="104">
        <f t="shared" si="14"/>
        <v>1</v>
      </c>
      <c r="Q48" s="104">
        <f t="shared" si="14"/>
        <v>1</v>
      </c>
      <c r="R48" s="104">
        <f t="shared" si="14"/>
        <v>1</v>
      </c>
      <c r="S48" s="104">
        <f t="shared" si="14"/>
        <v>1</v>
      </c>
      <c r="T48" s="104">
        <f t="shared" si="14"/>
        <v>1</v>
      </c>
      <c r="U48" s="104">
        <f t="shared" si="14"/>
        <v>1</v>
      </c>
      <c r="V48" s="104">
        <f t="shared" ref="V48" si="15">IF((IF($D$8&gt;9,9,$D$8)*2)&lt;V47,1,0)</f>
        <v>0</v>
      </c>
      <c r="W48" s="104">
        <f t="shared" ref="W48:AG48" si="16">IF((IF($D$8&gt;9,9,$D$8)*2)&lt;W47,1,0)</f>
        <v>0</v>
      </c>
      <c r="X48" s="104">
        <f t="shared" si="16"/>
        <v>0</v>
      </c>
      <c r="Y48" s="104">
        <f t="shared" si="16"/>
        <v>0</v>
      </c>
      <c r="Z48" s="104">
        <f t="shared" si="16"/>
        <v>0</v>
      </c>
      <c r="AA48" s="104">
        <f t="shared" si="16"/>
        <v>0</v>
      </c>
      <c r="AB48" s="104">
        <f t="shared" si="16"/>
        <v>0</v>
      </c>
      <c r="AC48" s="104">
        <f t="shared" si="16"/>
        <v>0</v>
      </c>
      <c r="AD48" s="104">
        <f t="shared" si="16"/>
        <v>0</v>
      </c>
      <c r="AE48" s="104">
        <f t="shared" si="16"/>
        <v>0</v>
      </c>
      <c r="AF48" s="104">
        <f t="shared" si="16"/>
        <v>0</v>
      </c>
      <c r="AG48" s="104">
        <f t="shared" si="16"/>
        <v>0</v>
      </c>
      <c r="AH48" s="104" t="s">
        <v>97</v>
      </c>
    </row>
    <row r="49" spans="1:29">
      <c r="B49" s="14" t="s">
        <v>192</v>
      </c>
      <c r="C49" s="14">
        <f>IF($D$11*2&lt;C47,1,0)</f>
        <v>1</v>
      </c>
      <c r="D49" s="14">
        <f>IF($D$11*2&lt;D47,1,0)</f>
        <v>1</v>
      </c>
      <c r="E49" s="14">
        <f>IF($D$11*2&lt;E47,1,0)</f>
        <v>1</v>
      </c>
      <c r="F49" s="105">
        <f>IF($D$11*2&lt;F47,1,0)</f>
        <v>1</v>
      </c>
      <c r="G49" s="105">
        <f t="shared" ref="G49:U49" si="17">IF($D$11*2&lt;G47,1,0)</f>
        <v>1</v>
      </c>
      <c r="H49" s="105">
        <f t="shared" si="17"/>
        <v>1</v>
      </c>
      <c r="I49" s="105">
        <f t="shared" si="17"/>
        <v>1</v>
      </c>
      <c r="J49" s="105">
        <f t="shared" si="17"/>
        <v>1</v>
      </c>
      <c r="K49" s="105">
        <f t="shared" si="17"/>
        <v>1</v>
      </c>
      <c r="L49" s="105">
        <f t="shared" si="17"/>
        <v>1</v>
      </c>
      <c r="M49" s="105">
        <f t="shared" si="17"/>
        <v>1</v>
      </c>
      <c r="N49" s="105">
        <f t="shared" si="17"/>
        <v>1</v>
      </c>
      <c r="O49" s="105">
        <f t="shared" si="17"/>
        <v>1</v>
      </c>
      <c r="P49" s="105">
        <f t="shared" si="17"/>
        <v>1</v>
      </c>
      <c r="Q49" s="105">
        <f t="shared" si="17"/>
        <v>1</v>
      </c>
      <c r="R49" s="105">
        <f t="shared" si="17"/>
        <v>1</v>
      </c>
      <c r="S49" s="105">
        <f t="shared" si="17"/>
        <v>1</v>
      </c>
      <c r="T49" s="105">
        <f t="shared" si="17"/>
        <v>1</v>
      </c>
      <c r="U49" s="105">
        <f t="shared" si="17"/>
        <v>1</v>
      </c>
      <c r="V49" s="14" t="s">
        <v>191</v>
      </c>
    </row>
    <row r="50" spans="1:29">
      <c r="A50" s="106" t="s">
        <v>26</v>
      </c>
      <c r="B50" s="107" t="s">
        <v>193</v>
      </c>
      <c r="C50" s="107"/>
      <c r="D50" s="107" t="e">
        <f>C51</f>
        <v>#DIV/0!</v>
      </c>
      <c r="E50" s="107">
        <f>IF(E49=1,0,SUM($C$51:D51))</f>
        <v>0</v>
      </c>
      <c r="F50" s="107">
        <f>IF(F49=1,0,SUM($C$51:E51))</f>
        <v>0</v>
      </c>
      <c r="G50" s="107">
        <f>IF(G49=1,0,SUM($C$51:F51))</f>
        <v>0</v>
      </c>
      <c r="H50" s="107">
        <f>IF(H49=1,0,SUM($C$51:G51))</f>
        <v>0</v>
      </c>
      <c r="I50" s="107">
        <f>IF(I49=1,0,SUM(C51:H51))</f>
        <v>0</v>
      </c>
      <c r="J50" s="107">
        <f>IF(J49=1,0,SUM(C51:I51))</f>
        <v>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193</v>
      </c>
    </row>
    <row r="51" spans="1:29">
      <c r="A51" s="106">
        <f>INT(D9*F10)</f>
        <v>0</v>
      </c>
      <c r="B51" s="107" t="s">
        <v>194</v>
      </c>
      <c r="C51" s="108" t="e">
        <f>(D9)-(SUM(D51:U51)+SUM(D54:U54)+A51)</f>
        <v>#DIV/0!</v>
      </c>
      <c r="D51" s="108" t="e">
        <f>INT((D9-A51)/(D11*2))</f>
        <v>#DIV/0!</v>
      </c>
      <c r="E51" s="108">
        <f t="shared" ref="E51:T51" si="18">IF(E49=1,0,D51)</f>
        <v>0</v>
      </c>
      <c r="F51" s="108">
        <f t="shared" si="18"/>
        <v>0</v>
      </c>
      <c r="G51" s="108">
        <f t="shared" si="18"/>
        <v>0</v>
      </c>
      <c r="H51" s="108">
        <f t="shared" si="18"/>
        <v>0</v>
      </c>
      <c r="I51" s="108">
        <f t="shared" si="18"/>
        <v>0</v>
      </c>
      <c r="J51" s="108">
        <f t="shared" si="18"/>
        <v>0</v>
      </c>
      <c r="K51" s="108">
        <f t="shared" si="18"/>
        <v>0</v>
      </c>
      <c r="L51" s="108">
        <f t="shared" si="18"/>
        <v>0</v>
      </c>
      <c r="M51" s="108">
        <f t="shared" si="18"/>
        <v>0</v>
      </c>
      <c r="N51" s="108">
        <f t="shared" si="18"/>
        <v>0</v>
      </c>
      <c r="O51" s="108">
        <f t="shared" si="18"/>
        <v>0</v>
      </c>
      <c r="P51" s="108">
        <f t="shared" si="18"/>
        <v>0</v>
      </c>
      <c r="Q51" s="108">
        <f t="shared" si="18"/>
        <v>0</v>
      </c>
      <c r="R51" s="108">
        <f t="shared" si="18"/>
        <v>0</v>
      </c>
      <c r="S51" s="108">
        <f t="shared" si="18"/>
        <v>0</v>
      </c>
      <c r="T51" s="108">
        <f t="shared" si="18"/>
        <v>0</v>
      </c>
      <c r="U51" s="108"/>
      <c r="V51" s="14" t="s">
        <v>195</v>
      </c>
    </row>
    <row r="52" spans="1:29">
      <c r="B52" s="107" t="s">
        <v>196</v>
      </c>
      <c r="C52" s="108" t="e">
        <f>INT((D9-A51)*E106)-SUM(D52:T52)-SUM(D55:U55)</f>
        <v>#DIV/0!</v>
      </c>
      <c r="D52" s="108" t="e">
        <f t="shared" ref="D52" si="19">INT(D51*$E$106)</f>
        <v>#DIV/0!</v>
      </c>
      <c r="E52" s="108">
        <f>INT(E51*$E$106)</f>
        <v>0</v>
      </c>
      <c r="F52" s="108">
        <f t="shared" ref="F52:U52" si="20">INT(F51*$E$106)</f>
        <v>0</v>
      </c>
      <c r="G52" s="108">
        <f t="shared" si="20"/>
        <v>0</v>
      </c>
      <c r="H52" s="108">
        <f t="shared" si="20"/>
        <v>0</v>
      </c>
      <c r="I52" s="108">
        <f t="shared" si="20"/>
        <v>0</v>
      </c>
      <c r="J52" s="108">
        <f t="shared" si="20"/>
        <v>0</v>
      </c>
      <c r="K52" s="108">
        <f t="shared" si="20"/>
        <v>0</v>
      </c>
      <c r="L52" s="108">
        <f t="shared" si="20"/>
        <v>0</v>
      </c>
      <c r="M52" s="108">
        <f t="shared" si="20"/>
        <v>0</v>
      </c>
      <c r="N52" s="108">
        <f t="shared" si="20"/>
        <v>0</v>
      </c>
      <c r="O52" s="108">
        <f t="shared" si="20"/>
        <v>0</v>
      </c>
      <c r="P52" s="108">
        <f t="shared" si="20"/>
        <v>0</v>
      </c>
      <c r="Q52" s="108">
        <f t="shared" si="20"/>
        <v>0</v>
      </c>
      <c r="R52" s="108">
        <f t="shared" si="20"/>
        <v>0</v>
      </c>
      <c r="S52" s="108">
        <f t="shared" si="20"/>
        <v>0</v>
      </c>
      <c r="T52" s="108">
        <f t="shared" si="20"/>
        <v>0</v>
      </c>
      <c r="U52" s="108">
        <f t="shared" si="20"/>
        <v>0</v>
      </c>
      <c r="V52" s="14" t="s">
        <v>197</v>
      </c>
    </row>
    <row r="53" spans="1:29">
      <c r="B53" s="107" t="s">
        <v>198</v>
      </c>
      <c r="C53" s="108">
        <f>INT(D9*(C44)/2*D65)</f>
        <v>0</v>
      </c>
      <c r="D53" s="108">
        <f t="shared" ref="D53:U53" si="21">INT(IF(D49=1,0,($D$9-D50)*($C$44)/2))</f>
        <v>0</v>
      </c>
      <c r="E53" s="108">
        <f t="shared" si="21"/>
        <v>0</v>
      </c>
      <c r="F53" s="108">
        <f t="shared" si="21"/>
        <v>0</v>
      </c>
      <c r="G53" s="108">
        <f t="shared" si="21"/>
        <v>0</v>
      </c>
      <c r="H53" s="108">
        <f t="shared" si="21"/>
        <v>0</v>
      </c>
      <c r="I53" s="108">
        <f t="shared" si="21"/>
        <v>0</v>
      </c>
      <c r="J53" s="108">
        <f t="shared" si="21"/>
        <v>0</v>
      </c>
      <c r="K53" s="108">
        <f t="shared" si="21"/>
        <v>0</v>
      </c>
      <c r="L53" s="108">
        <f t="shared" si="21"/>
        <v>0</v>
      </c>
      <c r="M53" s="108">
        <f t="shared" si="21"/>
        <v>0</v>
      </c>
      <c r="N53" s="108">
        <f t="shared" si="21"/>
        <v>0</v>
      </c>
      <c r="O53" s="108">
        <f t="shared" si="21"/>
        <v>0</v>
      </c>
      <c r="P53" s="108">
        <f t="shared" si="21"/>
        <v>0</v>
      </c>
      <c r="Q53" s="108">
        <f t="shared" si="21"/>
        <v>0</v>
      </c>
      <c r="R53" s="108">
        <f t="shared" si="21"/>
        <v>0</v>
      </c>
      <c r="S53" s="108">
        <f t="shared" si="21"/>
        <v>0</v>
      </c>
      <c r="T53" s="108">
        <f t="shared" si="21"/>
        <v>0</v>
      </c>
      <c r="U53" s="108">
        <f t="shared" si="21"/>
        <v>0</v>
      </c>
      <c r="V53" s="14" t="s">
        <v>198</v>
      </c>
    </row>
    <row r="54" spans="1:29">
      <c r="A54" s="109"/>
      <c r="B54" s="107" t="s">
        <v>199</v>
      </c>
      <c r="C54" s="110"/>
      <c r="D54" s="110"/>
      <c r="E54" s="111" t="e">
        <f t="shared" ref="E54:U54" si="22">INT(E60*$E$65*D51)</f>
        <v>#DIV/0!</v>
      </c>
      <c r="F54" s="111">
        <f t="shared" si="22"/>
        <v>0</v>
      </c>
      <c r="G54" s="111">
        <f t="shared" si="22"/>
        <v>0</v>
      </c>
      <c r="H54" s="111">
        <f t="shared" si="22"/>
        <v>0</v>
      </c>
      <c r="I54" s="111">
        <f t="shared" si="22"/>
        <v>0</v>
      </c>
      <c r="J54" s="111">
        <f t="shared" si="22"/>
        <v>0</v>
      </c>
      <c r="K54" s="111">
        <f t="shared" si="22"/>
        <v>0</v>
      </c>
      <c r="L54" s="111">
        <f t="shared" si="22"/>
        <v>0</v>
      </c>
      <c r="M54" s="111">
        <f t="shared" si="22"/>
        <v>0</v>
      </c>
      <c r="N54" s="111">
        <f t="shared" si="22"/>
        <v>0</v>
      </c>
      <c r="O54" s="111">
        <f t="shared" si="22"/>
        <v>0</v>
      </c>
      <c r="P54" s="111">
        <f t="shared" si="22"/>
        <v>0</v>
      </c>
      <c r="Q54" s="111">
        <f t="shared" si="22"/>
        <v>0</v>
      </c>
      <c r="R54" s="111">
        <f t="shared" si="22"/>
        <v>0</v>
      </c>
      <c r="S54" s="111">
        <f t="shared" si="22"/>
        <v>0</v>
      </c>
      <c r="T54" s="111">
        <f t="shared" si="22"/>
        <v>0</v>
      </c>
      <c r="U54" s="111">
        <f t="shared" si="22"/>
        <v>0</v>
      </c>
      <c r="V54" s="14" t="s">
        <v>199</v>
      </c>
    </row>
    <row r="55" spans="1:29">
      <c r="A55" s="112"/>
      <c r="B55" s="107" t="s">
        <v>197</v>
      </c>
      <c r="C55" s="107">
        <f t="shared" ref="C55:U55" si="23">INT(C54*$E$106)</f>
        <v>0</v>
      </c>
      <c r="D55" s="107">
        <f t="shared" si="23"/>
        <v>0</v>
      </c>
      <c r="E55" s="107" t="e">
        <f t="shared" si="23"/>
        <v>#DIV/0!</v>
      </c>
      <c r="F55" s="107">
        <f t="shared" si="23"/>
        <v>0</v>
      </c>
      <c r="G55" s="107">
        <f t="shared" si="23"/>
        <v>0</v>
      </c>
      <c r="H55" s="107">
        <f t="shared" si="23"/>
        <v>0</v>
      </c>
      <c r="I55" s="108">
        <f t="shared" si="23"/>
        <v>0</v>
      </c>
      <c r="J55" s="108">
        <f t="shared" si="23"/>
        <v>0</v>
      </c>
      <c r="K55" s="108">
        <f t="shared" si="23"/>
        <v>0</v>
      </c>
      <c r="L55" s="108">
        <f t="shared" si="23"/>
        <v>0</v>
      </c>
      <c r="M55" s="108">
        <f t="shared" si="23"/>
        <v>0</v>
      </c>
      <c r="N55" s="108">
        <f t="shared" si="23"/>
        <v>0</v>
      </c>
      <c r="O55" s="108">
        <f t="shared" si="23"/>
        <v>0</v>
      </c>
      <c r="P55" s="108">
        <f t="shared" si="23"/>
        <v>0</v>
      </c>
      <c r="Q55" s="108">
        <f t="shared" si="23"/>
        <v>0</v>
      </c>
      <c r="R55" s="108">
        <f t="shared" si="23"/>
        <v>0</v>
      </c>
      <c r="S55" s="108">
        <f t="shared" si="23"/>
        <v>0</v>
      </c>
      <c r="T55" s="108">
        <f t="shared" si="23"/>
        <v>0</v>
      </c>
      <c r="U55" s="108">
        <f t="shared" si="23"/>
        <v>0</v>
      </c>
      <c r="V55" s="14" t="s">
        <v>197</v>
      </c>
    </row>
    <row r="56" spans="1:29">
      <c r="A56" s="233"/>
      <c r="B56" s="107" t="s">
        <v>198</v>
      </c>
      <c r="C56" s="108"/>
      <c r="D56" s="107"/>
      <c r="E56" s="108" t="e">
        <f>INT((($D$9-SUM($C$51:D51))*($C$44)/2)*$E$65*E60)</f>
        <v>#DIV/0!</v>
      </c>
      <c r="F56" s="108" t="e">
        <f>INT((($D$9-SUM($C$51:E51))*($C$44)/2)*$E$65*F60)</f>
        <v>#DIV/0!</v>
      </c>
      <c r="G56" s="108" t="e">
        <f>INT((($D$9-SUM($C$51:F51))*($C$44)/2)*$E$65*G60)</f>
        <v>#DIV/0!</v>
      </c>
      <c r="H56" s="108" t="e">
        <f>INT((($D$9-SUM($C$51:G51))*($C$44)/2)*$E$65*H60)</f>
        <v>#DIV/0!</v>
      </c>
      <c r="I56" s="108" t="e">
        <f>INT((($D$9-SUM($C$51:H51))*($C$44)/2)*$E$65*I60)</f>
        <v>#DIV/0!</v>
      </c>
      <c r="J56" s="108" t="e">
        <f>INT((($D$9-SUM($C$51:I51))*($C$44)/2)*$E$65*J60)</f>
        <v>#DIV/0!</v>
      </c>
      <c r="K56" s="108" t="e">
        <f>INT((($D$9-SUM($C$51:J51))*($C$44)/2)*$E$65*K60)</f>
        <v>#DIV/0!</v>
      </c>
      <c r="L56" s="108" t="e">
        <f>INT((($D$9-SUM($C$51:K51))*($C$44)/2)*$E$65*L60)</f>
        <v>#DIV/0!</v>
      </c>
      <c r="M56" s="108" t="e">
        <f>INT((($D$9-SUM($C$51:L51))*($C$44)/2)*$E$65*M60)</f>
        <v>#DIV/0!</v>
      </c>
      <c r="N56" s="108" t="e">
        <f>INT((($D$9-SUM($C$51:M51))*($C$44)/2)*$E$65*N60)</f>
        <v>#DIV/0!</v>
      </c>
      <c r="O56" s="108" t="e">
        <f>INT((($D$9-SUM($C$51:N51))*($C$44)/2)*$E$65*O60)</f>
        <v>#DIV/0!</v>
      </c>
      <c r="P56" s="108" t="e">
        <f>INT((($D$9-SUM($C$51:O51))*($C$44)/2)*$E$65*P60)</f>
        <v>#DIV/0!</v>
      </c>
      <c r="Q56" s="108" t="e">
        <f>INT((($D$9-SUM($C$51:P51))*($C$44)/2)*$E$65*Q60)</f>
        <v>#DIV/0!</v>
      </c>
      <c r="R56" s="108" t="e">
        <f>INT((($D$9-SUM($C$51:Q51))*($C$44)/2)*$E$65*R60)</f>
        <v>#DIV/0!</v>
      </c>
      <c r="S56" s="113" t="e">
        <f>INT((($D$9-SUM($C$51:R51))*($C$44)/2)*$E$65*S60)</f>
        <v>#DIV/0!</v>
      </c>
      <c r="T56" s="108" t="e">
        <f>INT((($D$9-SUM($C$51:S51))*($C$44)/2)*$E$65*T60)</f>
        <v>#DIV/0!</v>
      </c>
      <c r="U56" s="108" t="e">
        <f>INT((($D$9-SUM($C$51:T51))*($C$44)/2)*$E$65*U60)</f>
        <v>#DIV/0!</v>
      </c>
      <c r="V56" s="14" t="s">
        <v>198</v>
      </c>
    </row>
    <row r="59" spans="1:29">
      <c r="B59" s="16" t="s">
        <v>200</v>
      </c>
      <c r="C59" s="15">
        <f>IF(C47=$I$64,IF($H$64=1,1,0),0)</f>
        <v>1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4">IF(F47=$I$64,IF($H$64=1,1,0),0)</f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4"/>
        <v>0</v>
      </c>
      <c r="L59" s="15">
        <f t="shared" si="24"/>
        <v>0</v>
      </c>
      <c r="M59" s="15">
        <f t="shared" si="24"/>
        <v>0</v>
      </c>
      <c r="N59" s="15">
        <f t="shared" si="24"/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5">
        <f t="shared" si="24"/>
        <v>0</v>
      </c>
      <c r="T59" s="15">
        <f t="shared" si="24"/>
        <v>0</v>
      </c>
      <c r="U59" s="15">
        <f t="shared" si="24"/>
        <v>0</v>
      </c>
      <c r="V59" s="78"/>
    </row>
    <row r="60" spans="1:29">
      <c r="B60" s="114" t="s">
        <v>201</v>
      </c>
      <c r="C60" s="115">
        <f t="shared" ref="C60:M60" si="25">IF(C47=$I$65,IF($H$65=1,1,0),0)</f>
        <v>1</v>
      </c>
      <c r="D60" s="115">
        <f t="shared" si="25"/>
        <v>0</v>
      </c>
      <c r="E60" s="115">
        <f t="shared" si="25"/>
        <v>0</v>
      </c>
      <c r="F60" s="115">
        <f t="shared" si="25"/>
        <v>0</v>
      </c>
      <c r="G60" s="115">
        <f t="shared" si="25"/>
        <v>0</v>
      </c>
      <c r="H60" s="115">
        <f t="shared" si="25"/>
        <v>0</v>
      </c>
      <c r="I60" s="115">
        <f t="shared" si="25"/>
        <v>0</v>
      </c>
      <c r="J60" s="115">
        <f t="shared" si="25"/>
        <v>0</v>
      </c>
      <c r="K60" s="115">
        <f t="shared" si="25"/>
        <v>0</v>
      </c>
      <c r="L60" s="115">
        <f t="shared" si="25"/>
        <v>0</v>
      </c>
      <c r="M60" s="115">
        <f t="shared" si="25"/>
        <v>0</v>
      </c>
      <c r="N60" s="115">
        <f>IF(N47=$I$65,IF($H$65=1,1,0),0)</f>
        <v>0</v>
      </c>
      <c r="O60" s="115">
        <f t="shared" ref="O60:U60" si="26">IF(O47=$I$65,IF($H$65=1,1,0),0)</f>
        <v>0</v>
      </c>
      <c r="P60" s="115">
        <f t="shared" si="26"/>
        <v>0</v>
      </c>
      <c r="Q60" s="115">
        <f t="shared" si="26"/>
        <v>0</v>
      </c>
      <c r="R60" s="115">
        <f t="shared" si="26"/>
        <v>0</v>
      </c>
      <c r="S60" s="115">
        <f t="shared" si="26"/>
        <v>0</v>
      </c>
      <c r="T60" s="115">
        <f t="shared" si="26"/>
        <v>0</v>
      </c>
      <c r="U60" s="115">
        <f t="shared" si="26"/>
        <v>0</v>
      </c>
      <c r="V60" s="78"/>
    </row>
    <row r="61" spans="1:29">
      <c r="A61" s="78"/>
      <c r="B61" s="116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78"/>
      <c r="Q61" s="78"/>
      <c r="R61" s="180"/>
    </row>
    <row r="62" spans="1:29">
      <c r="A62" s="78"/>
      <c r="B62" s="117" t="s">
        <v>175</v>
      </c>
      <c r="C62" s="114"/>
      <c r="D62" s="114">
        <f t="shared" ref="D62:P62" si="27">IF($H$65=1,$D$9*$F$10*D60,IF(D49=1,0,IF(E49=1,$D$9*$F$10,0)))</f>
        <v>0</v>
      </c>
      <c r="E62" s="114">
        <f t="shared" si="27"/>
        <v>0</v>
      </c>
      <c r="F62" s="114">
        <f t="shared" si="27"/>
        <v>0</v>
      </c>
      <c r="G62" s="114">
        <f t="shared" si="27"/>
        <v>0</v>
      </c>
      <c r="H62" s="114">
        <f t="shared" si="27"/>
        <v>0</v>
      </c>
      <c r="I62" s="114">
        <f t="shared" si="27"/>
        <v>0</v>
      </c>
      <c r="J62" s="114">
        <f t="shared" si="27"/>
        <v>0</v>
      </c>
      <c r="K62" s="114">
        <f t="shared" si="27"/>
        <v>0</v>
      </c>
      <c r="L62" s="114">
        <f t="shared" si="27"/>
        <v>0</v>
      </c>
      <c r="M62" s="114">
        <f t="shared" si="27"/>
        <v>0</v>
      </c>
      <c r="N62" s="114">
        <f t="shared" si="27"/>
        <v>0</v>
      </c>
      <c r="O62" s="114">
        <f t="shared" si="27"/>
        <v>0</v>
      </c>
      <c r="P62" s="114">
        <f t="shared" si="27"/>
        <v>0</v>
      </c>
      <c r="Q62" s="114">
        <f>IF($H$65=1,$D$9*$F$10*Q60,IF(Q49=1,0,IF(R49=1,$D$9*$F$10,0)))</f>
        <v>0</v>
      </c>
      <c r="R62" s="114">
        <f t="shared" ref="R62:U62" si="28">IF($H$65=1,$D$9*$F$10*R60,IF(R49=1,0,IF(S49=1,$D$9*$F$10,0)))</f>
        <v>0</v>
      </c>
      <c r="S62" s="114">
        <f t="shared" si="28"/>
        <v>0</v>
      </c>
      <c r="T62" s="114">
        <f t="shared" si="28"/>
        <v>0</v>
      </c>
      <c r="U62" s="114">
        <f t="shared" si="28"/>
        <v>0</v>
      </c>
    </row>
    <row r="63" spans="1:29">
      <c r="A63" s="78"/>
      <c r="B63" s="11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78"/>
      <c r="Q63" s="78"/>
    </row>
    <row r="64" spans="1:29">
      <c r="A64" s="78"/>
      <c r="B64" s="116"/>
      <c r="C64" s="222"/>
      <c r="D64" s="222"/>
      <c r="E64" s="304" t="s">
        <v>100</v>
      </c>
      <c r="F64" s="304"/>
      <c r="G64" s="304"/>
      <c r="H64" s="222">
        <f>VLOOKUP(A45,B86:E97,4)</f>
        <v>1</v>
      </c>
      <c r="I64" s="222">
        <f>IF(D11&gt;$G$114,$G$114,D11)*2+H64</f>
        <v>1</v>
      </c>
      <c r="J64" s="222"/>
      <c r="K64" s="222"/>
      <c r="L64" s="222"/>
      <c r="M64" s="222"/>
      <c r="N64" s="222"/>
      <c r="O64" s="222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2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</v>
      </c>
      <c r="J65" s="222"/>
      <c r="K65" s="222"/>
      <c r="L65" s="222"/>
      <c r="M65" s="222"/>
      <c r="N65" s="222"/>
      <c r="O65" s="222"/>
      <c r="P65" s="78"/>
      <c r="Q65" s="78"/>
    </row>
    <row r="66" spans="1:22">
      <c r="A66" s="78"/>
      <c r="B66" s="11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29">C39</f>
        <v>0</v>
      </c>
      <c r="H74" s="130">
        <f t="shared" si="29"/>
        <v>0</v>
      </c>
      <c r="I74" s="130">
        <f t="shared" si="29"/>
        <v>0</v>
      </c>
      <c r="J74" s="130">
        <f t="shared" si="29"/>
        <v>0</v>
      </c>
      <c r="K74" s="130">
        <f t="shared" si="29"/>
        <v>0</v>
      </c>
      <c r="L74" s="130">
        <f t="shared" si="29"/>
        <v>0</v>
      </c>
      <c r="M74" s="130">
        <f t="shared" si="29"/>
        <v>0</v>
      </c>
      <c r="N74" s="130">
        <f t="shared" si="29"/>
        <v>0</v>
      </c>
      <c r="O74" s="130">
        <f t="shared" si="29"/>
        <v>0</v>
      </c>
      <c r="P74" s="130">
        <f t="shared" si="29"/>
        <v>0</v>
      </c>
      <c r="Q74" s="130">
        <f t="shared" si="29"/>
        <v>0</v>
      </c>
      <c r="R74" s="130">
        <f t="shared" si="29"/>
        <v>0</v>
      </c>
      <c r="S74" s="130">
        <f t="shared" si="29"/>
        <v>0</v>
      </c>
      <c r="T74" s="130">
        <f t="shared" si="29"/>
        <v>0</v>
      </c>
      <c r="U74" s="130">
        <f t="shared" si="29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0">C41</f>
        <v>0</v>
      </c>
      <c r="H75" s="130">
        <f t="shared" si="30"/>
        <v>0</v>
      </c>
      <c r="I75" s="130">
        <f t="shared" si="30"/>
        <v>0</v>
      </c>
      <c r="J75" s="130">
        <f t="shared" si="30"/>
        <v>0</v>
      </c>
      <c r="K75" s="130">
        <f t="shared" si="30"/>
        <v>0</v>
      </c>
      <c r="L75" s="130">
        <f t="shared" si="30"/>
        <v>0</v>
      </c>
      <c r="M75" s="130">
        <f t="shared" si="30"/>
        <v>0</v>
      </c>
      <c r="N75" s="130">
        <f t="shared" si="30"/>
        <v>0</v>
      </c>
      <c r="O75" s="130">
        <f t="shared" si="30"/>
        <v>0</v>
      </c>
      <c r="P75" s="130">
        <f t="shared" si="30"/>
        <v>0</v>
      </c>
      <c r="Q75" s="130">
        <f t="shared" si="30"/>
        <v>0</v>
      </c>
      <c r="R75" s="130">
        <f t="shared" si="30"/>
        <v>0</v>
      </c>
      <c r="S75" s="130">
        <f t="shared" si="30"/>
        <v>0</v>
      </c>
      <c r="T75" s="130">
        <f t="shared" si="30"/>
        <v>0</v>
      </c>
      <c r="U75" s="130">
        <f t="shared" si="30"/>
        <v>0</v>
      </c>
      <c r="V75" s="130">
        <f>V41</f>
        <v>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1900</v>
      </c>
      <c r="C98" s="152">
        <f>MONTH(D12)</f>
        <v>1</v>
      </c>
      <c r="E98" s="14">
        <f>D11*2+VLOOKUP(MONTH(D12),B86:E97,4)</f>
        <v>1</v>
      </c>
    </row>
    <row r="99" spans="2:11">
      <c r="B99" s="14">
        <f>B98+VLOOKUP(C98,B86:D97,3)</f>
        <v>1900</v>
      </c>
      <c r="C99" s="14">
        <f>VLOOKUP(C98,B86:C97,2)</f>
        <v>3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0.05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0.01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3" t="s">
        <v>102</v>
      </c>
      <c r="D113" s="158" t="s">
        <v>127</v>
      </c>
      <c r="F113" s="223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1">C28</f>
        <v>61</v>
      </c>
      <c r="D122" s="159">
        <f t="shared" si="31"/>
        <v>245</v>
      </c>
      <c r="E122" s="159">
        <f t="shared" si="31"/>
        <v>426</v>
      </c>
      <c r="F122" s="159">
        <f t="shared" si="31"/>
        <v>610</v>
      </c>
      <c r="G122" s="159">
        <f t="shared" si="31"/>
        <v>791</v>
      </c>
      <c r="H122" s="159">
        <f t="shared" si="31"/>
        <v>975</v>
      </c>
      <c r="I122" s="159">
        <f t="shared" si="31"/>
        <v>1156</v>
      </c>
      <c r="J122" s="159">
        <f t="shared" si="31"/>
        <v>1340</v>
      </c>
      <c r="K122" s="159">
        <f t="shared" si="31"/>
        <v>1522</v>
      </c>
      <c r="L122" s="159">
        <f t="shared" si="31"/>
        <v>1706</v>
      </c>
      <c r="M122" s="159">
        <f t="shared" si="31"/>
        <v>1887</v>
      </c>
      <c r="N122" s="159">
        <f t="shared" si="31"/>
        <v>2071</v>
      </c>
      <c r="O122" s="159">
        <f t="shared" si="31"/>
        <v>2252</v>
      </c>
      <c r="P122" s="159">
        <f t="shared" si="31"/>
        <v>2436</v>
      </c>
      <c r="Q122" s="159">
        <f t="shared" si="31"/>
        <v>2617</v>
      </c>
      <c r="R122" s="159">
        <f t="shared" si="31"/>
        <v>2801</v>
      </c>
      <c r="S122" s="159">
        <f t="shared" si="31"/>
        <v>2983</v>
      </c>
      <c r="T122" s="159">
        <f t="shared" si="31"/>
        <v>3167</v>
      </c>
      <c r="U122" s="159">
        <f t="shared" si="31"/>
        <v>3348</v>
      </c>
    </row>
    <row r="123" spans="1:22">
      <c r="B123" s="163" t="s">
        <v>122</v>
      </c>
      <c r="C123" s="159" t="e">
        <f>EDATE(C122,-6)</f>
        <v>#NUM!</v>
      </c>
      <c r="D123" s="159">
        <f t="shared" ref="D123:U123" si="32">EDATE(D122,-6)</f>
        <v>61</v>
      </c>
      <c r="E123" s="159">
        <f t="shared" si="32"/>
        <v>245</v>
      </c>
      <c r="F123" s="159">
        <f t="shared" si="32"/>
        <v>426</v>
      </c>
      <c r="G123" s="159">
        <f t="shared" si="32"/>
        <v>610</v>
      </c>
      <c r="H123" s="159">
        <f t="shared" si="32"/>
        <v>791</v>
      </c>
      <c r="I123" s="159">
        <f t="shared" si="32"/>
        <v>975</v>
      </c>
      <c r="J123" s="159">
        <f t="shared" si="32"/>
        <v>1156</v>
      </c>
      <c r="K123" s="159">
        <f t="shared" si="32"/>
        <v>1340</v>
      </c>
      <c r="L123" s="159">
        <f t="shared" si="32"/>
        <v>1522</v>
      </c>
      <c r="M123" s="159">
        <f t="shared" si="32"/>
        <v>1706</v>
      </c>
      <c r="N123" s="159">
        <f t="shared" si="32"/>
        <v>1887</v>
      </c>
      <c r="O123" s="159">
        <f t="shared" si="32"/>
        <v>2071</v>
      </c>
      <c r="P123" s="159">
        <f t="shared" si="32"/>
        <v>2252</v>
      </c>
      <c r="Q123" s="159">
        <f t="shared" si="32"/>
        <v>2436</v>
      </c>
      <c r="R123" s="159">
        <f t="shared" si="32"/>
        <v>2617</v>
      </c>
      <c r="S123" s="159">
        <f t="shared" si="32"/>
        <v>2801</v>
      </c>
      <c r="T123" s="159">
        <f t="shared" si="32"/>
        <v>2983</v>
      </c>
      <c r="U123" s="159">
        <f t="shared" si="32"/>
        <v>3167</v>
      </c>
    </row>
    <row r="124" spans="1:22" s="77" customFormat="1">
      <c r="A124" s="222"/>
      <c r="B124" s="177" t="s">
        <v>56</v>
      </c>
      <c r="C124" s="114">
        <f t="shared" ref="C124:U124" si="33">C39</f>
        <v>0</v>
      </c>
      <c r="D124" s="114">
        <f t="shared" si="33"/>
        <v>0</v>
      </c>
      <c r="E124" s="114">
        <f t="shared" si="33"/>
        <v>0</v>
      </c>
      <c r="F124" s="114">
        <f t="shared" si="33"/>
        <v>0</v>
      </c>
      <c r="G124" s="114">
        <f t="shared" si="33"/>
        <v>0</v>
      </c>
      <c r="H124" s="114">
        <f t="shared" si="33"/>
        <v>0</v>
      </c>
      <c r="I124" s="114">
        <f t="shared" si="33"/>
        <v>0</v>
      </c>
      <c r="J124" s="114">
        <f t="shared" si="33"/>
        <v>0</v>
      </c>
      <c r="K124" s="114">
        <f t="shared" si="33"/>
        <v>0</v>
      </c>
      <c r="L124" s="114">
        <f t="shared" si="33"/>
        <v>0</v>
      </c>
      <c r="M124" s="114">
        <f t="shared" si="33"/>
        <v>0</v>
      </c>
      <c r="N124" s="114">
        <f t="shared" si="33"/>
        <v>0</v>
      </c>
      <c r="O124" s="114">
        <f t="shared" si="33"/>
        <v>0</v>
      </c>
      <c r="P124" s="114">
        <f t="shared" si="33"/>
        <v>0</v>
      </c>
      <c r="Q124" s="114">
        <f t="shared" si="33"/>
        <v>0</v>
      </c>
      <c r="R124" s="114">
        <f t="shared" si="33"/>
        <v>0</v>
      </c>
      <c r="S124" s="114">
        <f t="shared" si="33"/>
        <v>0</v>
      </c>
      <c r="T124" s="114">
        <f t="shared" si="33"/>
        <v>0</v>
      </c>
      <c r="U124" s="114">
        <f t="shared" si="33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B27:B29"/>
    <mergeCell ref="V27:V29"/>
    <mergeCell ref="V39:V40"/>
    <mergeCell ref="R44:U44"/>
    <mergeCell ref="E64:G64"/>
    <mergeCell ref="G21:G22"/>
    <mergeCell ref="I21:M21"/>
    <mergeCell ref="I22:M22"/>
    <mergeCell ref="G23:H24"/>
    <mergeCell ref="I23:M23"/>
    <mergeCell ref="I24:M24"/>
    <mergeCell ref="G18:H18"/>
    <mergeCell ref="I18:M18"/>
    <mergeCell ref="G19:H19"/>
    <mergeCell ref="I19:M19"/>
    <mergeCell ref="G20:H20"/>
    <mergeCell ref="I20:M20"/>
    <mergeCell ref="A13:C13"/>
    <mergeCell ref="D13:E13"/>
    <mergeCell ref="F15:O15"/>
    <mergeCell ref="F16:M16"/>
    <mergeCell ref="N16:O17"/>
    <mergeCell ref="G17:H17"/>
    <mergeCell ref="I17:M1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:R1"/>
    <mergeCell ref="K2:Q2"/>
    <mergeCell ref="A4:N4"/>
    <mergeCell ref="A5:N5"/>
    <mergeCell ref="B7:C7"/>
    <mergeCell ref="D7:E7"/>
  </mergeCells>
  <phoneticPr fontId="17"/>
  <conditionalFormatting sqref="H26:U26">
    <cfRule type="expression" dxfId="53" priority="14" stopIfTrue="1">
      <formula>$N$49=$E$99</formula>
    </cfRule>
    <cfRule type="cellIs" dxfId="52" priority="15" stopIfTrue="1" operator="equal">
      <formula>$E$99=$N$49</formula>
    </cfRule>
    <cfRule type="cellIs" dxfId="51" priority="16" stopIfTrue="1" operator="equal">
      <formula>$N$49=$E$99</formula>
    </cfRule>
  </conditionalFormatting>
  <conditionalFormatting sqref="P26">
    <cfRule type="expression" dxfId="50" priority="13" stopIfTrue="1">
      <formula>$P$49=$E$99</formula>
    </cfRule>
  </conditionalFormatting>
  <conditionalFormatting sqref="Q26">
    <cfRule type="expression" dxfId="49" priority="12" stopIfTrue="1">
      <formula>$Q$49=$E$99</formula>
    </cfRule>
  </conditionalFormatting>
  <conditionalFormatting sqref="R26">
    <cfRule type="expression" dxfId="48" priority="10" stopIfTrue="1">
      <formula>$R$49=$E$99</formula>
    </cfRule>
    <cfRule type="cellIs" dxfId="47" priority="11" stopIfTrue="1" operator="equal">
      <formula>$R$49=$E$99</formula>
    </cfRule>
  </conditionalFormatting>
  <conditionalFormatting sqref="S26">
    <cfRule type="expression" dxfId="46" priority="9" stopIfTrue="1">
      <formula>$S$49=$E$99</formula>
    </cfRule>
  </conditionalFormatting>
  <conditionalFormatting sqref="T26">
    <cfRule type="expression" dxfId="45" priority="8" stopIfTrue="1">
      <formula>$T$49=$E$99</formula>
    </cfRule>
  </conditionalFormatting>
  <conditionalFormatting sqref="U26">
    <cfRule type="expression" dxfId="44" priority="7" stopIfTrue="1">
      <formula>$U$49=$E$99</formula>
    </cfRule>
  </conditionalFormatting>
  <conditionalFormatting sqref="M26">
    <cfRule type="expression" dxfId="43" priority="6" stopIfTrue="1">
      <formula>$M$49=$E$99</formula>
    </cfRule>
  </conditionalFormatting>
  <conditionalFormatting sqref="L26">
    <cfRule type="expression" dxfId="42" priority="5" stopIfTrue="1">
      <formula>$L$49=$E$99</formula>
    </cfRule>
  </conditionalFormatting>
  <conditionalFormatting sqref="H26:U26">
    <cfRule type="expression" dxfId="41" priority="4" stopIfTrue="1">
      <formula>$H$49=$E$99</formula>
    </cfRule>
  </conditionalFormatting>
  <conditionalFormatting sqref="I26">
    <cfRule type="expression" dxfId="40" priority="3" stopIfTrue="1">
      <formula>$I$49=$E$99</formula>
    </cfRule>
  </conditionalFormatting>
  <conditionalFormatting sqref="J26">
    <cfRule type="expression" dxfId="39" priority="2" stopIfTrue="1">
      <formula>$J$49=$E$99</formula>
    </cfRule>
  </conditionalFormatting>
  <conditionalFormatting sqref="K26">
    <cfRule type="expression" dxfId="38" priority="1" stopIfTrue="1">
      <formula>$K$49=$E$99</formula>
    </cfRule>
  </conditionalFormatting>
  <conditionalFormatting sqref="O26:U26">
    <cfRule type="expression" dxfId="37" priority="17" stopIfTrue="1">
      <formula>$O$49=$E$99</formula>
    </cfRule>
    <cfRule type="expression" dxfId="36" priority="18" stopIfTrue="1">
      <formula>$O$4=$E$99</formula>
    </cfRule>
  </conditionalFormatting>
  <dataValidations count="2">
    <dataValidation type="whole" errorStyle="warning" operator="greaterThanOrEqual" allowBlank="1" showInputMessage="1" showErrorMessage="1" error="入力し直し" sqref="E7 D7:D10" xr:uid="{32CCD8C1-1A84-4031-911C-F7ED9CD237EA}">
      <formula1>100000</formula1>
    </dataValidation>
    <dataValidation type="whole" allowBlank="1" showInputMessage="1" showErrorMessage="1" sqref="D13:E13" xr:uid="{11D2841B-FDFE-4D01-AF49-663842898938}">
      <formula1>1</formula1>
      <formula2>7</formula2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3ACE-E3FA-45B8-8692-D425F17DCB26}">
  <sheetPr>
    <pageSetUpPr fitToPage="1"/>
  </sheetPr>
  <dimension ref="A1:AH125"/>
  <sheetViews>
    <sheetView showZeros="0" view="pageBreakPreview" topLeftCell="A109" zoomScale="80" zoomScaleNormal="100" zoomScaleSheetLayoutView="80" workbookViewId="0">
      <selection activeCell="Q124" sqref="Q124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'信用保険料計算書（上限2000万）'!O9</f>
        <v>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'信用保険料計算書（上限2000万）'!O10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'信用保険料計算書（上限2000万）'!O11</f>
        <v>0.1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'信用保険料計算書（上限2000万）'!O14</f>
        <v>0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'信用保険料計算書（上限2000万）'!O15</f>
        <v>0</v>
      </c>
      <c r="E12" s="283"/>
      <c r="F12" s="12" t="s">
        <v>29</v>
      </c>
      <c r="G12" s="286">
        <f>IF(D12="","",EDATE(D12,D11*12)-1)</f>
        <v>-1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25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25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24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171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16</v>
      </c>
    </row>
    <row r="28" spans="2:22" s="17" customFormat="1" ht="14.4" customHeight="1">
      <c r="B28" s="299"/>
      <c r="C28" s="45">
        <f>DATE(B99,C99,1)</f>
        <v>61</v>
      </c>
      <c r="D28" s="46">
        <f>EDATE(C28,6)</f>
        <v>245</v>
      </c>
      <c r="E28" s="46">
        <f>EDATE(D28,6)</f>
        <v>426</v>
      </c>
      <c r="F28" s="46">
        <f>EDATE(E28,6)</f>
        <v>610</v>
      </c>
      <c r="G28" s="46">
        <f>EDATE(F28,6)</f>
        <v>791</v>
      </c>
      <c r="H28" s="46">
        <f t="shared" ref="H28:U28" si="1">EDATE(G28,6)</f>
        <v>975</v>
      </c>
      <c r="I28" s="46">
        <f t="shared" si="1"/>
        <v>1156</v>
      </c>
      <c r="J28" s="46">
        <f t="shared" si="1"/>
        <v>1340</v>
      </c>
      <c r="K28" s="46">
        <f t="shared" si="1"/>
        <v>1522</v>
      </c>
      <c r="L28" s="46">
        <f t="shared" si="1"/>
        <v>1706</v>
      </c>
      <c r="M28" s="46">
        <f t="shared" si="1"/>
        <v>1887</v>
      </c>
      <c r="N28" s="46">
        <f t="shared" si="1"/>
        <v>2071</v>
      </c>
      <c r="O28" s="46">
        <f t="shared" si="1"/>
        <v>2252</v>
      </c>
      <c r="P28" s="46">
        <f t="shared" si="1"/>
        <v>2436</v>
      </c>
      <c r="Q28" s="46">
        <f t="shared" si="1"/>
        <v>2617</v>
      </c>
      <c r="R28" s="46">
        <f t="shared" si="1"/>
        <v>2801</v>
      </c>
      <c r="S28" s="46">
        <f t="shared" si="1"/>
        <v>2983</v>
      </c>
      <c r="T28" s="46">
        <f t="shared" si="1"/>
        <v>3167</v>
      </c>
      <c r="U28" s="47">
        <f t="shared" si="1"/>
        <v>3348</v>
      </c>
      <c r="V28" s="299"/>
    </row>
    <row r="29" spans="2:22" s="17" customFormat="1" ht="14.4" customHeight="1">
      <c r="B29" s="300"/>
      <c r="C29" s="9" t="s">
        <v>172</v>
      </c>
      <c r="D29" s="10" t="s">
        <v>172</v>
      </c>
      <c r="E29" s="10" t="s">
        <v>172</v>
      </c>
      <c r="F29" s="10" t="s">
        <v>172</v>
      </c>
      <c r="G29" s="10" t="s">
        <v>172</v>
      </c>
      <c r="H29" s="10" t="s">
        <v>172</v>
      </c>
      <c r="I29" s="10" t="s">
        <v>172</v>
      </c>
      <c r="J29" s="10" t="s">
        <v>172</v>
      </c>
      <c r="K29" s="10" t="s">
        <v>172</v>
      </c>
      <c r="L29" s="10" t="s">
        <v>172</v>
      </c>
      <c r="M29" s="10" t="s">
        <v>172</v>
      </c>
      <c r="N29" s="10" t="s">
        <v>172</v>
      </c>
      <c r="O29" s="10" t="s">
        <v>172</v>
      </c>
      <c r="P29" s="10" t="s">
        <v>172</v>
      </c>
      <c r="Q29" s="10" t="s">
        <v>172</v>
      </c>
      <c r="R29" s="10" t="s">
        <v>172</v>
      </c>
      <c r="S29" s="10" t="s">
        <v>172</v>
      </c>
      <c r="T29" s="10" t="s">
        <v>172</v>
      </c>
      <c r="U29" s="11" t="s">
        <v>172</v>
      </c>
      <c r="V29" s="300"/>
    </row>
    <row r="30" spans="2:22" ht="22.2" customHeight="1">
      <c r="B30" s="48" t="s">
        <v>173</v>
      </c>
      <c r="C30" s="49" t="e">
        <f t="shared" ref="C30:U31" si="2">C51+C54</f>
        <v>#DIV/0!</v>
      </c>
      <c r="D30" s="50" t="e">
        <f t="shared" si="2"/>
        <v>#DIV/0!</v>
      </c>
      <c r="E30" s="50" t="e">
        <f t="shared" si="2"/>
        <v>#DIV/0!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50">
        <f t="shared" si="2"/>
        <v>0</v>
      </c>
      <c r="U30" s="51">
        <f t="shared" si="2"/>
        <v>0</v>
      </c>
      <c r="V30" s="52" t="e">
        <f t="shared" ref="V30:V35" si="3">SUM(C30:U30)</f>
        <v>#DIV/0!</v>
      </c>
    </row>
    <row r="31" spans="2:22" ht="22.2" customHeight="1">
      <c r="B31" s="53" t="s">
        <v>174</v>
      </c>
      <c r="C31" s="54" t="e">
        <f t="shared" si="2"/>
        <v>#DIV/0!</v>
      </c>
      <c r="D31" s="54" t="e">
        <f t="shared" si="2"/>
        <v>#DIV/0!</v>
      </c>
      <c r="E31" s="54" t="e">
        <f t="shared" si="2"/>
        <v>#DIV/0!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>J52+J55</f>
        <v>0</v>
      </c>
      <c r="K31" s="54">
        <f>K52+K55</f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5">
        <f t="shared" si="2"/>
        <v>0</v>
      </c>
      <c r="V31" s="56" t="e">
        <f t="shared" si="3"/>
        <v>#DIV/0!</v>
      </c>
    </row>
    <row r="32" spans="2:22" ht="22.2" customHeight="1">
      <c r="B32" s="48" t="s">
        <v>175</v>
      </c>
      <c r="C32" s="49"/>
      <c r="D32" s="50">
        <f t="shared" ref="D32:N32" si="4">D62</f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O62</f>
        <v>0</v>
      </c>
      <c r="P32" s="50">
        <f t="shared" ref="P32:U32" si="5">P62</f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51">
        <f t="shared" si="5"/>
        <v>0</v>
      </c>
      <c r="V32" s="52">
        <f t="shared" si="3"/>
        <v>0</v>
      </c>
    </row>
    <row r="33" spans="1:34" ht="22.2" customHeight="1">
      <c r="B33" s="53" t="s">
        <v>176</v>
      </c>
      <c r="C33" s="57"/>
      <c r="D33" s="54">
        <f t="shared" ref="D33:N33" si="6">D32*$E$106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>INT(O32*$E$106)</f>
        <v>0</v>
      </c>
      <c r="P33" s="54">
        <f t="shared" ref="P33:U33" si="7">P32*$E$106</f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5">
        <f t="shared" si="7"/>
        <v>0</v>
      </c>
      <c r="V33" s="56">
        <f t="shared" si="3"/>
        <v>0</v>
      </c>
    </row>
    <row r="34" spans="1:34" ht="36" customHeight="1">
      <c r="B34" s="58" t="s">
        <v>177</v>
      </c>
      <c r="C34" s="59">
        <f t="shared" ref="C34:U34" si="8">IF($D$13=6,0,IF($D$13=7,0,(C53+C56)))</f>
        <v>0</v>
      </c>
      <c r="D34" s="60">
        <f t="shared" si="8"/>
        <v>0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 t="shared" si="8"/>
        <v>#DIV/0!</v>
      </c>
      <c r="O34" s="60" t="e">
        <f t="shared" si="8"/>
        <v>#DIV/0!</v>
      </c>
      <c r="P34" s="60" t="e">
        <f t="shared" si="8"/>
        <v>#DIV/0!</v>
      </c>
      <c r="Q34" s="60" t="e">
        <f t="shared" si="8"/>
        <v>#DIV/0!</v>
      </c>
      <c r="R34" s="60" t="e">
        <f t="shared" si="8"/>
        <v>#DIV/0!</v>
      </c>
      <c r="S34" s="60" t="e">
        <f t="shared" si="8"/>
        <v>#DIV/0!</v>
      </c>
      <c r="T34" s="60" t="e">
        <f t="shared" si="8"/>
        <v>#DIV/0!</v>
      </c>
      <c r="U34" s="61" t="e">
        <f t="shared" si="8"/>
        <v>#DIV/0!</v>
      </c>
      <c r="V34" s="62" t="e">
        <f t="shared" si="3"/>
        <v>#DIV/0!</v>
      </c>
    </row>
    <row r="35" spans="1:34" ht="22.2" customHeight="1">
      <c r="B35" s="63" t="s">
        <v>178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3"/>
        <v>0</v>
      </c>
    </row>
    <row r="36" spans="1:34" ht="25.2" customHeight="1">
      <c r="B36" s="65" t="s">
        <v>179</v>
      </c>
      <c r="C36" s="66" t="e">
        <f t="shared" ref="C36:V36" si="9">SUM(C30:C35)</f>
        <v>#DIV/0!</v>
      </c>
      <c r="D36" s="67" t="e">
        <f t="shared" si="9"/>
        <v>#DIV/0!</v>
      </c>
      <c r="E36" s="67" t="e">
        <f t="shared" si="9"/>
        <v>#DIV/0!</v>
      </c>
      <c r="F36" s="67" t="e">
        <f t="shared" si="9"/>
        <v>#DIV/0!</v>
      </c>
      <c r="G36" s="67" t="e">
        <f t="shared" si="9"/>
        <v>#DIV/0!</v>
      </c>
      <c r="H36" s="67" t="e">
        <f t="shared" si="9"/>
        <v>#DIV/0!</v>
      </c>
      <c r="I36" s="67" t="e">
        <f t="shared" si="9"/>
        <v>#DIV/0!</v>
      </c>
      <c r="J36" s="67" t="e">
        <f t="shared" si="9"/>
        <v>#DIV/0!</v>
      </c>
      <c r="K36" s="67" t="e">
        <f t="shared" si="9"/>
        <v>#DIV/0!</v>
      </c>
      <c r="L36" s="67" t="e">
        <f t="shared" si="9"/>
        <v>#DIV/0!</v>
      </c>
      <c r="M36" s="67" t="e">
        <f t="shared" si="9"/>
        <v>#DIV/0!</v>
      </c>
      <c r="N36" s="67" t="e">
        <f t="shared" si="9"/>
        <v>#DIV/0!</v>
      </c>
      <c r="O36" s="67" t="e">
        <f t="shared" si="9"/>
        <v>#DIV/0!</v>
      </c>
      <c r="P36" s="67" t="e">
        <f t="shared" si="9"/>
        <v>#DIV/0!</v>
      </c>
      <c r="Q36" s="67" t="e">
        <f t="shared" si="9"/>
        <v>#DIV/0!</v>
      </c>
      <c r="R36" s="67" t="e">
        <f t="shared" si="9"/>
        <v>#DIV/0!</v>
      </c>
      <c r="S36" s="67" t="e">
        <f t="shared" si="9"/>
        <v>#DIV/0!</v>
      </c>
      <c r="T36" s="67" t="e">
        <f t="shared" si="9"/>
        <v>#DIV/0!</v>
      </c>
      <c r="U36" s="68" t="e">
        <f t="shared" si="9"/>
        <v>#DIV/0!</v>
      </c>
      <c r="V36" s="62" t="e">
        <f t="shared" si="9"/>
        <v>#DIV/0!</v>
      </c>
    </row>
    <row r="37" spans="1:34" ht="18.600000000000001" customHeight="1"/>
    <row r="38" spans="1:34" ht="17.399999999999999" customHeight="1">
      <c r="B38" s="69" t="s">
        <v>180</v>
      </c>
      <c r="E38" s="70"/>
      <c r="I38" s="71" t="s">
        <v>181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2"/>
      <c r="B39" s="74" t="s">
        <v>182</v>
      </c>
      <c r="C39" s="75">
        <f>IF(DATEVALUE("2018/3/31")&lt;$D$12,INT(D9*(1+$E$106)),D9)</f>
        <v>0</v>
      </c>
      <c r="D39" s="76">
        <f>IF(AND(D48=0,D59=0),(C39-(C30+C31)),IF(AND(D48=1,D59=1),(C39-(C30+C31)),0))</f>
        <v>0</v>
      </c>
      <c r="E39" s="76">
        <f t="shared" ref="E39:U39" si="10">IF(AND(E48=0,E59=0),(D39-(D30+D31)),IF(AND(E48=1,E59=1),(D39-(D30+D31)),0))</f>
        <v>0</v>
      </c>
      <c r="F39" s="76">
        <f t="shared" si="10"/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6">
        <f t="shared" si="10"/>
        <v>0</v>
      </c>
      <c r="P39" s="76">
        <f t="shared" si="10"/>
        <v>0</v>
      </c>
      <c r="Q39" s="76">
        <f t="shared" si="10"/>
        <v>0</v>
      </c>
      <c r="R39" s="76">
        <f t="shared" si="10"/>
        <v>0</v>
      </c>
      <c r="S39" s="76">
        <f t="shared" si="10"/>
        <v>0</v>
      </c>
      <c r="T39" s="76">
        <f t="shared" si="10"/>
        <v>0</v>
      </c>
      <c r="U39" s="76">
        <f t="shared" si="10"/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1">IF(C39&gt;$F$114,$F$114,C39)</f>
        <v>0</v>
      </c>
      <c r="D40" s="81">
        <f t="shared" si="11"/>
        <v>0</v>
      </c>
      <c r="E40" s="81">
        <f t="shared" si="11"/>
        <v>0</v>
      </c>
      <c r="F40" s="81">
        <f t="shared" si="11"/>
        <v>0</v>
      </c>
      <c r="G40" s="81">
        <f t="shared" si="11"/>
        <v>0</v>
      </c>
      <c r="H40" s="81">
        <f t="shared" si="11"/>
        <v>0</v>
      </c>
      <c r="I40" s="81">
        <f t="shared" si="11"/>
        <v>0</v>
      </c>
      <c r="J40" s="81">
        <f t="shared" si="11"/>
        <v>0</v>
      </c>
      <c r="K40" s="81">
        <f t="shared" si="11"/>
        <v>0</v>
      </c>
      <c r="L40" s="81">
        <f t="shared" si="11"/>
        <v>0</v>
      </c>
      <c r="M40" s="81">
        <f t="shared" si="11"/>
        <v>0</v>
      </c>
      <c r="N40" s="81">
        <f t="shared" si="11"/>
        <v>0</v>
      </c>
      <c r="O40" s="81">
        <f t="shared" si="11"/>
        <v>0</v>
      </c>
      <c r="P40" s="81">
        <f t="shared" si="11"/>
        <v>0</v>
      </c>
      <c r="Q40" s="81">
        <f t="shared" si="11"/>
        <v>0</v>
      </c>
      <c r="R40" s="82">
        <f t="shared" si="11"/>
        <v>0</v>
      </c>
      <c r="S40" s="83">
        <f t="shared" si="11"/>
        <v>0</v>
      </c>
      <c r="T40" s="83">
        <f t="shared" si="11"/>
        <v>0</v>
      </c>
      <c r="U40" s="84">
        <f t="shared" si="11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0</v>
      </c>
      <c r="D41" s="87">
        <f>IF(AND(D48=0,D59=0),INT(ROUNDDOWN(D40*0.0048/12,2)*6),IF(AND(D48=1,D59=1),INT(ROUNDDOWN((ROUNDDOWN(D40*0.0048/12,2))*6,0)*$E$65),0))</f>
        <v>0</v>
      </c>
      <c r="E41" s="87">
        <f t="shared" ref="E41:U41" si="12">IF(AND(E48=0,E59=0),INT(ROUNDDOWN(E40*0.0048/12,2)*6),IF(AND(E48=1,E59=1),INT(ROUNDDOWN((ROUNDDOWN(E40*0.0048/12,2))*6,0)*$E$65),0))</f>
        <v>0</v>
      </c>
      <c r="F41" s="87">
        <f t="shared" si="12"/>
        <v>0</v>
      </c>
      <c r="G41" s="87">
        <f t="shared" si="12"/>
        <v>0</v>
      </c>
      <c r="H41" s="87">
        <f t="shared" si="12"/>
        <v>0</v>
      </c>
      <c r="I41" s="87">
        <f t="shared" si="12"/>
        <v>0</v>
      </c>
      <c r="J41" s="87">
        <f t="shared" si="12"/>
        <v>0</v>
      </c>
      <c r="K41" s="87">
        <f t="shared" si="12"/>
        <v>0</v>
      </c>
      <c r="L41" s="87">
        <f t="shared" si="12"/>
        <v>0</v>
      </c>
      <c r="M41" s="87">
        <f t="shared" si="12"/>
        <v>0</v>
      </c>
      <c r="N41" s="87">
        <f t="shared" si="12"/>
        <v>0</v>
      </c>
      <c r="O41" s="87">
        <f t="shared" si="12"/>
        <v>0</v>
      </c>
      <c r="P41" s="87">
        <f t="shared" si="12"/>
        <v>0</v>
      </c>
      <c r="Q41" s="87">
        <f t="shared" si="12"/>
        <v>0</v>
      </c>
      <c r="R41" s="88">
        <f t="shared" si="12"/>
        <v>0</v>
      </c>
      <c r="S41" s="89">
        <f t="shared" si="12"/>
        <v>0</v>
      </c>
      <c r="T41" s="89">
        <f t="shared" si="12"/>
        <v>0</v>
      </c>
      <c r="U41" s="90">
        <f t="shared" si="12"/>
        <v>0</v>
      </c>
      <c r="V41" s="91">
        <f>SUM(C41:U41)</f>
        <v>0</v>
      </c>
    </row>
    <row r="42" spans="1:34" ht="24">
      <c r="A42" s="78"/>
      <c r="B42" s="92" t="s">
        <v>186</v>
      </c>
      <c r="C42" s="93">
        <f>IF(C39*0.95&gt;$F$114,$F$114,C39*0.95)</f>
        <v>0</v>
      </c>
      <c r="D42" s="94">
        <f>IF(D39*0.95&gt;$F$114,$F$114,D39*0.95)</f>
        <v>0</v>
      </c>
      <c r="E42" s="94">
        <f t="shared" ref="E42:U42" si="13">IF(E39*0.95&gt;$F$114,$F$114,E39*0.95)</f>
        <v>0</v>
      </c>
      <c r="F42" s="94">
        <f t="shared" si="13"/>
        <v>0</v>
      </c>
      <c r="G42" s="94">
        <f t="shared" si="13"/>
        <v>0</v>
      </c>
      <c r="H42" s="94">
        <f t="shared" si="13"/>
        <v>0</v>
      </c>
      <c r="I42" s="94">
        <f t="shared" si="13"/>
        <v>0</v>
      </c>
      <c r="J42" s="94">
        <f t="shared" si="13"/>
        <v>0</v>
      </c>
      <c r="K42" s="94">
        <f t="shared" si="13"/>
        <v>0</v>
      </c>
      <c r="L42" s="94">
        <f t="shared" si="13"/>
        <v>0</v>
      </c>
      <c r="M42" s="94">
        <f t="shared" si="13"/>
        <v>0</v>
      </c>
      <c r="N42" s="94">
        <f t="shared" si="13"/>
        <v>0</v>
      </c>
      <c r="O42" s="94">
        <f t="shared" si="13"/>
        <v>0</v>
      </c>
      <c r="P42" s="94">
        <f t="shared" si="13"/>
        <v>0</v>
      </c>
      <c r="Q42" s="94">
        <f t="shared" si="13"/>
        <v>0</v>
      </c>
      <c r="R42" s="95">
        <f t="shared" si="13"/>
        <v>0</v>
      </c>
      <c r="S42" s="96">
        <f t="shared" si="13"/>
        <v>0</v>
      </c>
      <c r="T42" s="96">
        <f t="shared" si="13"/>
        <v>0</v>
      </c>
      <c r="U42" s="97">
        <f t="shared" si="13"/>
        <v>0</v>
      </c>
      <c r="V42" s="62"/>
    </row>
    <row r="43" spans="1:34" ht="13.8" thickBot="1"/>
    <row r="44" spans="1:34" ht="16.8" thickBot="1">
      <c r="A44" s="98"/>
      <c r="B44" s="99" t="s">
        <v>187</v>
      </c>
      <c r="C44" s="100">
        <f>K106</f>
        <v>0.01</v>
      </c>
      <c r="R44" s="303" t="s">
        <v>188</v>
      </c>
      <c r="S44" s="303"/>
      <c r="T44" s="303"/>
      <c r="U44" s="303"/>
      <c r="V44" s="101" t="e">
        <f>V30+V32</f>
        <v>#DIV/0!</v>
      </c>
      <c r="W44" s="102" t="e">
        <f>IF(V44=D9,"OK","エラー")</f>
        <v>#DIV/0!</v>
      </c>
    </row>
    <row r="45" spans="1:34" ht="13.8" thickBot="1">
      <c r="A45" s="103">
        <f>MONTH(D12)</f>
        <v>1</v>
      </c>
      <c r="B45" s="14" t="s">
        <v>0</v>
      </c>
    </row>
    <row r="46" spans="1:34">
      <c r="A46" s="232"/>
    </row>
    <row r="47" spans="1:34">
      <c r="B47" s="14" t="s">
        <v>189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190</v>
      </c>
      <c r="C48" s="104">
        <f t="shared" ref="C48:U48" si="14">IF((IF($D$11&gt;$G$114,$G$114,$D$11)*2)&lt;C47,1,0)</f>
        <v>1</v>
      </c>
      <c r="D48" s="104">
        <f t="shared" si="14"/>
        <v>1</v>
      </c>
      <c r="E48" s="104">
        <f t="shared" si="14"/>
        <v>1</v>
      </c>
      <c r="F48" s="104">
        <f t="shared" si="14"/>
        <v>1</v>
      </c>
      <c r="G48" s="104">
        <f t="shared" si="14"/>
        <v>1</v>
      </c>
      <c r="H48" s="104">
        <f t="shared" si="14"/>
        <v>1</v>
      </c>
      <c r="I48" s="104">
        <f t="shared" si="14"/>
        <v>1</v>
      </c>
      <c r="J48" s="104">
        <f t="shared" si="14"/>
        <v>1</v>
      </c>
      <c r="K48" s="104">
        <f t="shared" si="14"/>
        <v>1</v>
      </c>
      <c r="L48" s="104">
        <f t="shared" si="14"/>
        <v>1</v>
      </c>
      <c r="M48" s="104">
        <f t="shared" si="14"/>
        <v>1</v>
      </c>
      <c r="N48" s="104">
        <f t="shared" si="14"/>
        <v>1</v>
      </c>
      <c r="O48" s="104">
        <f t="shared" si="14"/>
        <v>1</v>
      </c>
      <c r="P48" s="104">
        <f t="shared" si="14"/>
        <v>1</v>
      </c>
      <c r="Q48" s="104">
        <f t="shared" si="14"/>
        <v>1</v>
      </c>
      <c r="R48" s="104">
        <f t="shared" si="14"/>
        <v>1</v>
      </c>
      <c r="S48" s="104">
        <f t="shared" si="14"/>
        <v>1</v>
      </c>
      <c r="T48" s="104">
        <f t="shared" si="14"/>
        <v>1</v>
      </c>
      <c r="U48" s="104">
        <f t="shared" si="14"/>
        <v>1</v>
      </c>
      <c r="V48" s="104">
        <f t="shared" ref="V48" si="15">IF((IF($D$8&gt;9,9,$D$8)*2)&lt;V47,1,0)</f>
        <v>0</v>
      </c>
      <c r="W48" s="104">
        <f t="shared" ref="W48:AG48" si="16">IF((IF($D$8&gt;9,9,$D$8)*2)&lt;W47,1,0)</f>
        <v>0</v>
      </c>
      <c r="X48" s="104">
        <f t="shared" si="16"/>
        <v>0</v>
      </c>
      <c r="Y48" s="104">
        <f t="shared" si="16"/>
        <v>0</v>
      </c>
      <c r="Z48" s="104">
        <f t="shared" si="16"/>
        <v>0</v>
      </c>
      <c r="AA48" s="104">
        <f t="shared" si="16"/>
        <v>0</v>
      </c>
      <c r="AB48" s="104">
        <f t="shared" si="16"/>
        <v>0</v>
      </c>
      <c r="AC48" s="104">
        <f t="shared" si="16"/>
        <v>0</v>
      </c>
      <c r="AD48" s="104">
        <f t="shared" si="16"/>
        <v>0</v>
      </c>
      <c r="AE48" s="104">
        <f t="shared" si="16"/>
        <v>0</v>
      </c>
      <c r="AF48" s="104">
        <f t="shared" si="16"/>
        <v>0</v>
      </c>
      <c r="AG48" s="104">
        <f t="shared" si="16"/>
        <v>0</v>
      </c>
      <c r="AH48" s="104" t="s">
        <v>97</v>
      </c>
    </row>
    <row r="49" spans="1:29">
      <c r="B49" s="14" t="s">
        <v>192</v>
      </c>
      <c r="C49" s="14">
        <f>IF($D$11*2&lt;C47,1,0)</f>
        <v>1</v>
      </c>
      <c r="D49" s="14">
        <f>IF($D$11*2&lt;D47,1,0)</f>
        <v>1</v>
      </c>
      <c r="E49" s="14">
        <f>IF($D$11*2&lt;E47,1,0)</f>
        <v>1</v>
      </c>
      <c r="F49" s="105">
        <f>IF($D$11*2&lt;F47,1,0)</f>
        <v>1</v>
      </c>
      <c r="G49" s="105">
        <f t="shared" ref="G49:U49" si="17">IF($D$11*2&lt;G47,1,0)</f>
        <v>1</v>
      </c>
      <c r="H49" s="105">
        <f t="shared" si="17"/>
        <v>1</v>
      </c>
      <c r="I49" s="105">
        <f t="shared" si="17"/>
        <v>1</v>
      </c>
      <c r="J49" s="105">
        <f t="shared" si="17"/>
        <v>1</v>
      </c>
      <c r="K49" s="105">
        <f t="shared" si="17"/>
        <v>1</v>
      </c>
      <c r="L49" s="105">
        <f t="shared" si="17"/>
        <v>1</v>
      </c>
      <c r="M49" s="105">
        <f t="shared" si="17"/>
        <v>1</v>
      </c>
      <c r="N49" s="105">
        <f t="shared" si="17"/>
        <v>1</v>
      </c>
      <c r="O49" s="105">
        <f t="shared" si="17"/>
        <v>1</v>
      </c>
      <c r="P49" s="105">
        <f t="shared" si="17"/>
        <v>1</v>
      </c>
      <c r="Q49" s="105">
        <f t="shared" si="17"/>
        <v>1</v>
      </c>
      <c r="R49" s="105">
        <f t="shared" si="17"/>
        <v>1</v>
      </c>
      <c r="S49" s="105">
        <f t="shared" si="17"/>
        <v>1</v>
      </c>
      <c r="T49" s="105">
        <f t="shared" si="17"/>
        <v>1</v>
      </c>
      <c r="U49" s="105">
        <f t="shared" si="17"/>
        <v>1</v>
      </c>
      <c r="V49" s="14" t="s">
        <v>191</v>
      </c>
    </row>
    <row r="50" spans="1:29">
      <c r="A50" s="106" t="s">
        <v>26</v>
      </c>
      <c r="B50" s="107" t="s">
        <v>193</v>
      </c>
      <c r="C50" s="107"/>
      <c r="D50" s="107" t="e">
        <f>C51</f>
        <v>#DIV/0!</v>
      </c>
      <c r="E50" s="107">
        <f>IF(E49=1,0,SUM($C$51:D51))</f>
        <v>0</v>
      </c>
      <c r="F50" s="107">
        <f>IF(F49=1,0,SUM($C$51:E51))</f>
        <v>0</v>
      </c>
      <c r="G50" s="107">
        <f>IF(G49=1,0,SUM($C$51:F51))</f>
        <v>0</v>
      </c>
      <c r="H50" s="107">
        <f>IF(H49=1,0,SUM($C$51:G51))</f>
        <v>0</v>
      </c>
      <c r="I50" s="107">
        <f>IF(I49=1,0,SUM(C51:H51))</f>
        <v>0</v>
      </c>
      <c r="J50" s="107">
        <f>IF(J49=1,0,SUM(C51:I51))</f>
        <v>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193</v>
      </c>
    </row>
    <row r="51" spans="1:29">
      <c r="A51" s="106">
        <f>INT(D9*F10)</f>
        <v>0</v>
      </c>
      <c r="B51" s="107" t="s">
        <v>194</v>
      </c>
      <c r="C51" s="108" t="e">
        <f>(D9)-(SUM(D51:U51)+SUM(D54:U54)+A51)</f>
        <v>#DIV/0!</v>
      </c>
      <c r="D51" s="108" t="e">
        <f>INT((D9-A51)/(D11*2))</f>
        <v>#DIV/0!</v>
      </c>
      <c r="E51" s="108">
        <f t="shared" ref="E51:T51" si="18">IF(E49=1,0,D51)</f>
        <v>0</v>
      </c>
      <c r="F51" s="108">
        <f t="shared" si="18"/>
        <v>0</v>
      </c>
      <c r="G51" s="108">
        <f t="shared" si="18"/>
        <v>0</v>
      </c>
      <c r="H51" s="108">
        <f t="shared" si="18"/>
        <v>0</v>
      </c>
      <c r="I51" s="108">
        <f t="shared" si="18"/>
        <v>0</v>
      </c>
      <c r="J51" s="108">
        <f t="shared" si="18"/>
        <v>0</v>
      </c>
      <c r="K51" s="108">
        <f t="shared" si="18"/>
        <v>0</v>
      </c>
      <c r="L51" s="108">
        <f t="shared" si="18"/>
        <v>0</v>
      </c>
      <c r="M51" s="108">
        <f t="shared" si="18"/>
        <v>0</v>
      </c>
      <c r="N51" s="108">
        <f t="shared" si="18"/>
        <v>0</v>
      </c>
      <c r="O51" s="108">
        <f t="shared" si="18"/>
        <v>0</v>
      </c>
      <c r="P51" s="108">
        <f t="shared" si="18"/>
        <v>0</v>
      </c>
      <c r="Q51" s="108">
        <f t="shared" si="18"/>
        <v>0</v>
      </c>
      <c r="R51" s="108">
        <f t="shared" si="18"/>
        <v>0</v>
      </c>
      <c r="S51" s="108">
        <f t="shared" si="18"/>
        <v>0</v>
      </c>
      <c r="T51" s="108">
        <f t="shared" si="18"/>
        <v>0</v>
      </c>
      <c r="U51" s="108"/>
      <c r="V51" s="14" t="s">
        <v>195</v>
      </c>
    </row>
    <row r="52" spans="1:29">
      <c r="B52" s="107" t="s">
        <v>196</v>
      </c>
      <c r="C52" s="108" t="e">
        <f>INT((D9-A51)*E106)-SUM(D52:T52)-SUM(D55:U55)</f>
        <v>#DIV/0!</v>
      </c>
      <c r="D52" s="108" t="e">
        <f t="shared" ref="D52" si="19">INT(D51*$E$106)</f>
        <v>#DIV/0!</v>
      </c>
      <c r="E52" s="108">
        <f>INT(E51*$E$106)</f>
        <v>0</v>
      </c>
      <c r="F52" s="108">
        <f t="shared" ref="F52:U52" si="20">INT(F51*$E$106)</f>
        <v>0</v>
      </c>
      <c r="G52" s="108">
        <f t="shared" si="20"/>
        <v>0</v>
      </c>
      <c r="H52" s="108">
        <f t="shared" si="20"/>
        <v>0</v>
      </c>
      <c r="I52" s="108">
        <f t="shared" si="20"/>
        <v>0</v>
      </c>
      <c r="J52" s="108">
        <f t="shared" si="20"/>
        <v>0</v>
      </c>
      <c r="K52" s="108">
        <f t="shared" si="20"/>
        <v>0</v>
      </c>
      <c r="L52" s="108">
        <f t="shared" si="20"/>
        <v>0</v>
      </c>
      <c r="M52" s="108">
        <f t="shared" si="20"/>
        <v>0</v>
      </c>
      <c r="N52" s="108">
        <f t="shared" si="20"/>
        <v>0</v>
      </c>
      <c r="O52" s="108">
        <f t="shared" si="20"/>
        <v>0</v>
      </c>
      <c r="P52" s="108">
        <f t="shared" si="20"/>
        <v>0</v>
      </c>
      <c r="Q52" s="108">
        <f t="shared" si="20"/>
        <v>0</v>
      </c>
      <c r="R52" s="108">
        <f t="shared" si="20"/>
        <v>0</v>
      </c>
      <c r="S52" s="108">
        <f t="shared" si="20"/>
        <v>0</v>
      </c>
      <c r="T52" s="108">
        <f t="shared" si="20"/>
        <v>0</v>
      </c>
      <c r="U52" s="108">
        <f t="shared" si="20"/>
        <v>0</v>
      </c>
      <c r="V52" s="14" t="s">
        <v>197</v>
      </c>
    </row>
    <row r="53" spans="1:29">
      <c r="B53" s="107" t="s">
        <v>198</v>
      </c>
      <c r="C53" s="108">
        <f>INT(D9*(C44)/2*D65)</f>
        <v>0</v>
      </c>
      <c r="D53" s="108">
        <f t="shared" ref="D53:U53" si="21">INT(IF(D49=1,0,($D$9-D50)*($C$44)/2))</f>
        <v>0</v>
      </c>
      <c r="E53" s="108">
        <f t="shared" si="21"/>
        <v>0</v>
      </c>
      <c r="F53" s="108">
        <f t="shared" si="21"/>
        <v>0</v>
      </c>
      <c r="G53" s="108">
        <f t="shared" si="21"/>
        <v>0</v>
      </c>
      <c r="H53" s="108">
        <f t="shared" si="21"/>
        <v>0</v>
      </c>
      <c r="I53" s="108">
        <f t="shared" si="21"/>
        <v>0</v>
      </c>
      <c r="J53" s="108">
        <f t="shared" si="21"/>
        <v>0</v>
      </c>
      <c r="K53" s="108">
        <f t="shared" si="21"/>
        <v>0</v>
      </c>
      <c r="L53" s="108">
        <f t="shared" si="21"/>
        <v>0</v>
      </c>
      <c r="M53" s="108">
        <f t="shared" si="21"/>
        <v>0</v>
      </c>
      <c r="N53" s="108">
        <f t="shared" si="21"/>
        <v>0</v>
      </c>
      <c r="O53" s="108">
        <f t="shared" si="21"/>
        <v>0</v>
      </c>
      <c r="P53" s="108">
        <f t="shared" si="21"/>
        <v>0</v>
      </c>
      <c r="Q53" s="108">
        <f t="shared" si="21"/>
        <v>0</v>
      </c>
      <c r="R53" s="108">
        <f t="shared" si="21"/>
        <v>0</v>
      </c>
      <c r="S53" s="108">
        <f t="shared" si="21"/>
        <v>0</v>
      </c>
      <c r="T53" s="108">
        <f t="shared" si="21"/>
        <v>0</v>
      </c>
      <c r="U53" s="108">
        <f t="shared" si="21"/>
        <v>0</v>
      </c>
      <c r="V53" s="14" t="s">
        <v>198</v>
      </c>
    </row>
    <row r="54" spans="1:29">
      <c r="A54" s="109"/>
      <c r="B54" s="107" t="s">
        <v>199</v>
      </c>
      <c r="C54" s="110"/>
      <c r="D54" s="110"/>
      <c r="E54" s="111" t="e">
        <f t="shared" ref="E54:U54" si="22">INT(E60*$E$65*D51)</f>
        <v>#DIV/0!</v>
      </c>
      <c r="F54" s="111">
        <f t="shared" si="22"/>
        <v>0</v>
      </c>
      <c r="G54" s="111">
        <f t="shared" si="22"/>
        <v>0</v>
      </c>
      <c r="H54" s="111">
        <f t="shared" si="22"/>
        <v>0</v>
      </c>
      <c r="I54" s="111">
        <f t="shared" si="22"/>
        <v>0</v>
      </c>
      <c r="J54" s="111">
        <f t="shared" si="22"/>
        <v>0</v>
      </c>
      <c r="K54" s="111">
        <f t="shared" si="22"/>
        <v>0</v>
      </c>
      <c r="L54" s="111">
        <f t="shared" si="22"/>
        <v>0</v>
      </c>
      <c r="M54" s="111">
        <f t="shared" si="22"/>
        <v>0</v>
      </c>
      <c r="N54" s="111">
        <f t="shared" si="22"/>
        <v>0</v>
      </c>
      <c r="O54" s="111">
        <f t="shared" si="22"/>
        <v>0</v>
      </c>
      <c r="P54" s="111">
        <f t="shared" si="22"/>
        <v>0</v>
      </c>
      <c r="Q54" s="111">
        <f t="shared" si="22"/>
        <v>0</v>
      </c>
      <c r="R54" s="111">
        <f t="shared" si="22"/>
        <v>0</v>
      </c>
      <c r="S54" s="111">
        <f t="shared" si="22"/>
        <v>0</v>
      </c>
      <c r="T54" s="111">
        <f t="shared" si="22"/>
        <v>0</v>
      </c>
      <c r="U54" s="111">
        <f t="shared" si="22"/>
        <v>0</v>
      </c>
      <c r="V54" s="14" t="s">
        <v>199</v>
      </c>
    </row>
    <row r="55" spans="1:29">
      <c r="A55" s="112"/>
      <c r="B55" s="107" t="s">
        <v>197</v>
      </c>
      <c r="C55" s="107">
        <f t="shared" ref="C55:U55" si="23">INT(C54*$E$106)</f>
        <v>0</v>
      </c>
      <c r="D55" s="107">
        <f t="shared" si="23"/>
        <v>0</v>
      </c>
      <c r="E55" s="107" t="e">
        <f t="shared" si="23"/>
        <v>#DIV/0!</v>
      </c>
      <c r="F55" s="107">
        <f t="shared" si="23"/>
        <v>0</v>
      </c>
      <c r="G55" s="107">
        <f t="shared" si="23"/>
        <v>0</v>
      </c>
      <c r="H55" s="107">
        <f t="shared" si="23"/>
        <v>0</v>
      </c>
      <c r="I55" s="108">
        <f t="shared" si="23"/>
        <v>0</v>
      </c>
      <c r="J55" s="108">
        <f t="shared" si="23"/>
        <v>0</v>
      </c>
      <c r="K55" s="108">
        <f t="shared" si="23"/>
        <v>0</v>
      </c>
      <c r="L55" s="108">
        <f t="shared" si="23"/>
        <v>0</v>
      </c>
      <c r="M55" s="108">
        <f t="shared" si="23"/>
        <v>0</v>
      </c>
      <c r="N55" s="108">
        <f t="shared" si="23"/>
        <v>0</v>
      </c>
      <c r="O55" s="108">
        <f t="shared" si="23"/>
        <v>0</v>
      </c>
      <c r="P55" s="108">
        <f t="shared" si="23"/>
        <v>0</v>
      </c>
      <c r="Q55" s="108">
        <f t="shared" si="23"/>
        <v>0</v>
      </c>
      <c r="R55" s="108">
        <f t="shared" si="23"/>
        <v>0</v>
      </c>
      <c r="S55" s="108">
        <f t="shared" si="23"/>
        <v>0</v>
      </c>
      <c r="T55" s="108">
        <f t="shared" si="23"/>
        <v>0</v>
      </c>
      <c r="U55" s="108">
        <f t="shared" si="23"/>
        <v>0</v>
      </c>
      <c r="V55" s="14" t="s">
        <v>197</v>
      </c>
    </row>
    <row r="56" spans="1:29">
      <c r="A56" s="233"/>
      <c r="B56" s="107" t="s">
        <v>198</v>
      </c>
      <c r="C56" s="108"/>
      <c r="D56" s="107"/>
      <c r="E56" s="108" t="e">
        <f>INT((($D$9-SUM($C$51:D51))*($C$44)/2)*$E$65*E60)</f>
        <v>#DIV/0!</v>
      </c>
      <c r="F56" s="108" t="e">
        <f>INT((($D$9-SUM($C$51:E51))*($C$44)/2)*$E$65*F60)</f>
        <v>#DIV/0!</v>
      </c>
      <c r="G56" s="108" t="e">
        <f>INT((($D$9-SUM($C$51:F51))*($C$44)/2)*$E$65*G60)</f>
        <v>#DIV/0!</v>
      </c>
      <c r="H56" s="108" t="e">
        <f>INT((($D$9-SUM($C$51:G51))*($C$44)/2)*$E$65*H60)</f>
        <v>#DIV/0!</v>
      </c>
      <c r="I56" s="108" t="e">
        <f>INT((($D$9-SUM($C$51:H51))*($C$44)/2)*$E$65*I60)</f>
        <v>#DIV/0!</v>
      </c>
      <c r="J56" s="108" t="e">
        <f>INT((($D$9-SUM($C$51:I51))*($C$44)/2)*$E$65*J60)</f>
        <v>#DIV/0!</v>
      </c>
      <c r="K56" s="108" t="e">
        <f>INT((($D$9-SUM($C$51:J51))*($C$44)/2)*$E$65*K60)</f>
        <v>#DIV/0!</v>
      </c>
      <c r="L56" s="108" t="e">
        <f>INT((($D$9-SUM($C$51:K51))*($C$44)/2)*$E$65*L60)</f>
        <v>#DIV/0!</v>
      </c>
      <c r="M56" s="108" t="e">
        <f>INT((($D$9-SUM($C$51:L51))*($C$44)/2)*$E$65*M60)</f>
        <v>#DIV/0!</v>
      </c>
      <c r="N56" s="108" t="e">
        <f>INT((($D$9-SUM($C$51:M51))*($C$44)/2)*$E$65*N60)</f>
        <v>#DIV/0!</v>
      </c>
      <c r="O56" s="108" t="e">
        <f>INT((($D$9-SUM($C$51:N51))*($C$44)/2)*$E$65*O60)</f>
        <v>#DIV/0!</v>
      </c>
      <c r="P56" s="108" t="e">
        <f>INT((($D$9-SUM($C$51:O51))*($C$44)/2)*$E$65*P60)</f>
        <v>#DIV/0!</v>
      </c>
      <c r="Q56" s="108" t="e">
        <f>INT((($D$9-SUM($C$51:P51))*($C$44)/2)*$E$65*Q60)</f>
        <v>#DIV/0!</v>
      </c>
      <c r="R56" s="108" t="e">
        <f>INT((($D$9-SUM($C$51:Q51))*($C$44)/2)*$E$65*R60)</f>
        <v>#DIV/0!</v>
      </c>
      <c r="S56" s="113" t="e">
        <f>INT((($D$9-SUM($C$51:R51))*($C$44)/2)*$E$65*S60)</f>
        <v>#DIV/0!</v>
      </c>
      <c r="T56" s="108" t="e">
        <f>INT((($D$9-SUM($C$51:S51))*($C$44)/2)*$E$65*T60)</f>
        <v>#DIV/0!</v>
      </c>
      <c r="U56" s="108" t="e">
        <f>INT((($D$9-SUM($C$51:T51))*($C$44)/2)*$E$65*U60)</f>
        <v>#DIV/0!</v>
      </c>
      <c r="V56" s="14" t="s">
        <v>198</v>
      </c>
    </row>
    <row r="59" spans="1:29">
      <c r="B59" s="16" t="s">
        <v>200</v>
      </c>
      <c r="C59" s="15">
        <f>IF(C47=$I$64,IF($H$64=1,1,0),0)</f>
        <v>1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4">IF(F47=$I$64,IF($H$64=1,1,0),0)</f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4"/>
        <v>0</v>
      </c>
      <c r="L59" s="15">
        <f t="shared" si="24"/>
        <v>0</v>
      </c>
      <c r="M59" s="15">
        <f t="shared" si="24"/>
        <v>0</v>
      </c>
      <c r="N59" s="15">
        <f t="shared" si="24"/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5">
        <f t="shared" si="24"/>
        <v>0</v>
      </c>
      <c r="T59" s="15">
        <f t="shared" si="24"/>
        <v>0</v>
      </c>
      <c r="U59" s="15">
        <f t="shared" si="24"/>
        <v>0</v>
      </c>
      <c r="V59" s="78"/>
    </row>
    <row r="60" spans="1:29">
      <c r="B60" s="114" t="s">
        <v>201</v>
      </c>
      <c r="C60" s="115">
        <f t="shared" ref="C60:M60" si="25">IF(C47=$I$65,IF($H$65=1,1,0),0)</f>
        <v>1</v>
      </c>
      <c r="D60" s="115">
        <f t="shared" si="25"/>
        <v>0</v>
      </c>
      <c r="E60" s="115">
        <f t="shared" si="25"/>
        <v>0</v>
      </c>
      <c r="F60" s="115">
        <f t="shared" si="25"/>
        <v>0</v>
      </c>
      <c r="G60" s="115">
        <f t="shared" si="25"/>
        <v>0</v>
      </c>
      <c r="H60" s="115">
        <f t="shared" si="25"/>
        <v>0</v>
      </c>
      <c r="I60" s="115">
        <f t="shared" si="25"/>
        <v>0</v>
      </c>
      <c r="J60" s="115">
        <f t="shared" si="25"/>
        <v>0</v>
      </c>
      <c r="K60" s="115">
        <f t="shared" si="25"/>
        <v>0</v>
      </c>
      <c r="L60" s="115">
        <f t="shared" si="25"/>
        <v>0</v>
      </c>
      <c r="M60" s="115">
        <f t="shared" si="25"/>
        <v>0</v>
      </c>
      <c r="N60" s="115">
        <f>IF(N47=$I$65,IF($H$65=1,1,0),0)</f>
        <v>0</v>
      </c>
      <c r="O60" s="115">
        <f t="shared" ref="O60:U60" si="26">IF(O47=$I$65,IF($H$65=1,1,0),0)</f>
        <v>0</v>
      </c>
      <c r="P60" s="115">
        <f t="shared" si="26"/>
        <v>0</v>
      </c>
      <c r="Q60" s="115">
        <f t="shared" si="26"/>
        <v>0</v>
      </c>
      <c r="R60" s="115">
        <f t="shared" si="26"/>
        <v>0</v>
      </c>
      <c r="S60" s="115">
        <f t="shared" si="26"/>
        <v>0</v>
      </c>
      <c r="T60" s="115">
        <f t="shared" si="26"/>
        <v>0</v>
      </c>
      <c r="U60" s="115">
        <f t="shared" si="26"/>
        <v>0</v>
      </c>
      <c r="V60" s="78"/>
    </row>
    <row r="61" spans="1:29">
      <c r="A61" s="78"/>
      <c r="B61" s="116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78"/>
      <c r="Q61" s="78"/>
      <c r="R61" s="180"/>
    </row>
    <row r="62" spans="1:29">
      <c r="A62" s="78"/>
      <c r="B62" s="117" t="s">
        <v>175</v>
      </c>
      <c r="C62" s="114"/>
      <c r="D62" s="114">
        <f t="shared" ref="D62:P62" si="27">IF($H$65=1,$D$9*$F$10*D60,IF(D49=1,0,IF(E49=1,$D$9*$F$10,0)))</f>
        <v>0</v>
      </c>
      <c r="E62" s="114">
        <f t="shared" si="27"/>
        <v>0</v>
      </c>
      <c r="F62" s="114">
        <f t="shared" si="27"/>
        <v>0</v>
      </c>
      <c r="G62" s="114">
        <f t="shared" si="27"/>
        <v>0</v>
      </c>
      <c r="H62" s="114">
        <f t="shared" si="27"/>
        <v>0</v>
      </c>
      <c r="I62" s="114">
        <f t="shared" si="27"/>
        <v>0</v>
      </c>
      <c r="J62" s="114">
        <f t="shared" si="27"/>
        <v>0</v>
      </c>
      <c r="K62" s="114">
        <f t="shared" si="27"/>
        <v>0</v>
      </c>
      <c r="L62" s="114">
        <f t="shared" si="27"/>
        <v>0</v>
      </c>
      <c r="M62" s="114">
        <f t="shared" si="27"/>
        <v>0</v>
      </c>
      <c r="N62" s="114">
        <f t="shared" si="27"/>
        <v>0</v>
      </c>
      <c r="O62" s="114">
        <f t="shared" si="27"/>
        <v>0</v>
      </c>
      <c r="P62" s="114">
        <f t="shared" si="27"/>
        <v>0</v>
      </c>
      <c r="Q62" s="114">
        <f>IF($H$65=1,$D$9*$F$10*Q60,IF(Q49=1,0,IF(R49=1,$D$9*$F$10,0)))</f>
        <v>0</v>
      </c>
      <c r="R62" s="114">
        <f t="shared" ref="R62:U62" si="28">IF($H$65=1,$D$9*$F$10*R60,IF(R49=1,0,IF(S49=1,$D$9*$F$10,0)))</f>
        <v>0</v>
      </c>
      <c r="S62" s="114">
        <f t="shared" si="28"/>
        <v>0</v>
      </c>
      <c r="T62" s="114">
        <f t="shared" si="28"/>
        <v>0</v>
      </c>
      <c r="U62" s="114">
        <f t="shared" si="28"/>
        <v>0</v>
      </c>
    </row>
    <row r="63" spans="1:29">
      <c r="A63" s="78"/>
      <c r="B63" s="11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78"/>
      <c r="Q63" s="78"/>
    </row>
    <row r="64" spans="1:29">
      <c r="A64" s="78"/>
      <c r="B64" s="116"/>
      <c r="C64" s="222"/>
      <c r="D64" s="222"/>
      <c r="E64" s="304" t="s">
        <v>100</v>
      </c>
      <c r="F64" s="304"/>
      <c r="G64" s="304"/>
      <c r="H64" s="222">
        <f>VLOOKUP(A45,B86:E97,4)</f>
        <v>1</v>
      </c>
      <c r="I64" s="222">
        <f>IF(D11&gt;$G$114,$G$114,D11)*2+H64</f>
        <v>1</v>
      </c>
      <c r="J64" s="222"/>
      <c r="K64" s="222"/>
      <c r="L64" s="222"/>
      <c r="M64" s="222"/>
      <c r="N64" s="222"/>
      <c r="O64" s="222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2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</v>
      </c>
      <c r="J65" s="222"/>
      <c r="K65" s="222"/>
      <c r="L65" s="222"/>
      <c r="M65" s="222"/>
      <c r="N65" s="222"/>
      <c r="O65" s="222"/>
      <c r="P65" s="78"/>
      <c r="Q65" s="78"/>
    </row>
    <row r="66" spans="1:22">
      <c r="A66" s="78"/>
      <c r="B66" s="11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29">C39</f>
        <v>0</v>
      </c>
      <c r="H74" s="130">
        <f t="shared" si="29"/>
        <v>0</v>
      </c>
      <c r="I74" s="130">
        <f t="shared" si="29"/>
        <v>0</v>
      </c>
      <c r="J74" s="130">
        <f t="shared" si="29"/>
        <v>0</v>
      </c>
      <c r="K74" s="130">
        <f t="shared" si="29"/>
        <v>0</v>
      </c>
      <c r="L74" s="130">
        <f t="shared" si="29"/>
        <v>0</v>
      </c>
      <c r="M74" s="130">
        <f t="shared" si="29"/>
        <v>0</v>
      </c>
      <c r="N74" s="130">
        <f t="shared" si="29"/>
        <v>0</v>
      </c>
      <c r="O74" s="130">
        <f t="shared" si="29"/>
        <v>0</v>
      </c>
      <c r="P74" s="130">
        <f t="shared" si="29"/>
        <v>0</v>
      </c>
      <c r="Q74" s="130">
        <f t="shared" si="29"/>
        <v>0</v>
      </c>
      <c r="R74" s="130">
        <f t="shared" si="29"/>
        <v>0</v>
      </c>
      <c r="S74" s="130">
        <f t="shared" si="29"/>
        <v>0</v>
      </c>
      <c r="T74" s="130">
        <f t="shared" si="29"/>
        <v>0</v>
      </c>
      <c r="U74" s="130">
        <f t="shared" si="29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0">C41</f>
        <v>0</v>
      </c>
      <c r="H75" s="130">
        <f t="shared" si="30"/>
        <v>0</v>
      </c>
      <c r="I75" s="130">
        <f t="shared" si="30"/>
        <v>0</v>
      </c>
      <c r="J75" s="130">
        <f t="shared" si="30"/>
        <v>0</v>
      </c>
      <c r="K75" s="130">
        <f t="shared" si="30"/>
        <v>0</v>
      </c>
      <c r="L75" s="130">
        <f t="shared" si="30"/>
        <v>0</v>
      </c>
      <c r="M75" s="130">
        <f t="shared" si="30"/>
        <v>0</v>
      </c>
      <c r="N75" s="130">
        <f t="shared" si="30"/>
        <v>0</v>
      </c>
      <c r="O75" s="130">
        <f t="shared" si="30"/>
        <v>0</v>
      </c>
      <c r="P75" s="130">
        <f t="shared" si="30"/>
        <v>0</v>
      </c>
      <c r="Q75" s="130">
        <f t="shared" si="30"/>
        <v>0</v>
      </c>
      <c r="R75" s="130">
        <f t="shared" si="30"/>
        <v>0</v>
      </c>
      <c r="S75" s="130">
        <f t="shared" si="30"/>
        <v>0</v>
      </c>
      <c r="T75" s="130">
        <f t="shared" si="30"/>
        <v>0</v>
      </c>
      <c r="U75" s="130">
        <f t="shared" si="30"/>
        <v>0</v>
      </c>
      <c r="V75" s="130">
        <f>V41</f>
        <v>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1900</v>
      </c>
      <c r="C98" s="152">
        <f>MONTH(D12)</f>
        <v>1</v>
      </c>
      <c r="E98" s="14">
        <f>D11*2+VLOOKUP(MONTH(D12),B86:E97,4)</f>
        <v>1</v>
      </c>
    </row>
    <row r="99" spans="2:11">
      <c r="B99" s="14">
        <f>B98+VLOOKUP(C98,B86:D97,3)</f>
        <v>1900</v>
      </c>
      <c r="C99" s="14">
        <f>VLOOKUP(C98,B86:C97,2)</f>
        <v>3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0.05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0.01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3" t="s">
        <v>102</v>
      </c>
      <c r="D113" s="158" t="s">
        <v>127</v>
      </c>
      <c r="F113" s="223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1">C28</f>
        <v>61</v>
      </c>
      <c r="D122" s="159">
        <f t="shared" si="31"/>
        <v>245</v>
      </c>
      <c r="E122" s="159">
        <f t="shared" si="31"/>
        <v>426</v>
      </c>
      <c r="F122" s="159">
        <f t="shared" si="31"/>
        <v>610</v>
      </c>
      <c r="G122" s="159">
        <f t="shared" si="31"/>
        <v>791</v>
      </c>
      <c r="H122" s="159">
        <f t="shared" si="31"/>
        <v>975</v>
      </c>
      <c r="I122" s="159">
        <f t="shared" si="31"/>
        <v>1156</v>
      </c>
      <c r="J122" s="159">
        <f t="shared" si="31"/>
        <v>1340</v>
      </c>
      <c r="K122" s="159">
        <f t="shared" si="31"/>
        <v>1522</v>
      </c>
      <c r="L122" s="159">
        <f t="shared" si="31"/>
        <v>1706</v>
      </c>
      <c r="M122" s="159">
        <f t="shared" si="31"/>
        <v>1887</v>
      </c>
      <c r="N122" s="159">
        <f t="shared" si="31"/>
        <v>2071</v>
      </c>
      <c r="O122" s="159">
        <f t="shared" si="31"/>
        <v>2252</v>
      </c>
      <c r="P122" s="159">
        <f t="shared" si="31"/>
        <v>2436</v>
      </c>
      <c r="Q122" s="159">
        <f t="shared" si="31"/>
        <v>2617</v>
      </c>
      <c r="R122" s="159">
        <f t="shared" si="31"/>
        <v>2801</v>
      </c>
      <c r="S122" s="159">
        <f t="shared" si="31"/>
        <v>2983</v>
      </c>
      <c r="T122" s="159">
        <f t="shared" si="31"/>
        <v>3167</v>
      </c>
      <c r="U122" s="159">
        <f t="shared" si="31"/>
        <v>3348</v>
      </c>
    </row>
    <row r="123" spans="1:22">
      <c r="B123" s="163" t="s">
        <v>122</v>
      </c>
      <c r="C123" s="159" t="e">
        <f>EDATE(C122,-6)</f>
        <v>#NUM!</v>
      </c>
      <c r="D123" s="159">
        <f t="shared" ref="D123:U123" si="32">EDATE(D122,-6)</f>
        <v>61</v>
      </c>
      <c r="E123" s="159">
        <f t="shared" si="32"/>
        <v>245</v>
      </c>
      <c r="F123" s="159">
        <f t="shared" si="32"/>
        <v>426</v>
      </c>
      <c r="G123" s="159">
        <f t="shared" si="32"/>
        <v>610</v>
      </c>
      <c r="H123" s="159">
        <f t="shared" si="32"/>
        <v>791</v>
      </c>
      <c r="I123" s="159">
        <f t="shared" si="32"/>
        <v>975</v>
      </c>
      <c r="J123" s="159">
        <f t="shared" si="32"/>
        <v>1156</v>
      </c>
      <c r="K123" s="159">
        <f t="shared" si="32"/>
        <v>1340</v>
      </c>
      <c r="L123" s="159">
        <f t="shared" si="32"/>
        <v>1522</v>
      </c>
      <c r="M123" s="159">
        <f t="shared" si="32"/>
        <v>1706</v>
      </c>
      <c r="N123" s="159">
        <f t="shared" si="32"/>
        <v>1887</v>
      </c>
      <c r="O123" s="159">
        <f t="shared" si="32"/>
        <v>2071</v>
      </c>
      <c r="P123" s="159">
        <f t="shared" si="32"/>
        <v>2252</v>
      </c>
      <c r="Q123" s="159">
        <f t="shared" si="32"/>
        <v>2436</v>
      </c>
      <c r="R123" s="159">
        <f t="shared" si="32"/>
        <v>2617</v>
      </c>
      <c r="S123" s="159">
        <f t="shared" si="32"/>
        <v>2801</v>
      </c>
      <c r="T123" s="159">
        <f t="shared" si="32"/>
        <v>2983</v>
      </c>
      <c r="U123" s="159">
        <f t="shared" si="32"/>
        <v>3167</v>
      </c>
    </row>
    <row r="124" spans="1:22" s="77" customFormat="1">
      <c r="A124" s="222"/>
      <c r="B124" s="177" t="s">
        <v>56</v>
      </c>
      <c r="C124" s="114">
        <f t="shared" ref="C124:U124" si="33">C39</f>
        <v>0</v>
      </c>
      <c r="D124" s="114">
        <f t="shared" si="33"/>
        <v>0</v>
      </c>
      <c r="E124" s="114">
        <f t="shared" si="33"/>
        <v>0</v>
      </c>
      <c r="F124" s="114">
        <f t="shared" si="33"/>
        <v>0</v>
      </c>
      <c r="G124" s="114">
        <f t="shared" si="33"/>
        <v>0</v>
      </c>
      <c r="H124" s="114">
        <f t="shared" si="33"/>
        <v>0</v>
      </c>
      <c r="I124" s="114">
        <f t="shared" si="33"/>
        <v>0</v>
      </c>
      <c r="J124" s="114">
        <f t="shared" si="33"/>
        <v>0</v>
      </c>
      <c r="K124" s="114">
        <f t="shared" si="33"/>
        <v>0</v>
      </c>
      <c r="L124" s="114">
        <f t="shared" si="33"/>
        <v>0</v>
      </c>
      <c r="M124" s="114">
        <f t="shared" si="33"/>
        <v>0</v>
      </c>
      <c r="N124" s="114">
        <f t="shared" si="33"/>
        <v>0</v>
      </c>
      <c r="O124" s="114">
        <f t="shared" si="33"/>
        <v>0</v>
      </c>
      <c r="P124" s="114">
        <f t="shared" si="33"/>
        <v>0</v>
      </c>
      <c r="Q124" s="114">
        <f t="shared" si="33"/>
        <v>0</v>
      </c>
      <c r="R124" s="114">
        <f t="shared" si="33"/>
        <v>0</v>
      </c>
      <c r="S124" s="114">
        <f t="shared" si="33"/>
        <v>0</v>
      </c>
      <c r="T124" s="114">
        <f t="shared" si="33"/>
        <v>0</v>
      </c>
      <c r="U124" s="114">
        <f t="shared" si="33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B27:B29"/>
    <mergeCell ref="V27:V29"/>
    <mergeCell ref="V39:V40"/>
    <mergeCell ref="R44:U44"/>
    <mergeCell ref="E64:G64"/>
    <mergeCell ref="G21:G22"/>
    <mergeCell ref="I21:M21"/>
    <mergeCell ref="I22:M22"/>
    <mergeCell ref="G23:H24"/>
    <mergeCell ref="I23:M23"/>
    <mergeCell ref="I24:M24"/>
    <mergeCell ref="G18:H18"/>
    <mergeCell ref="I18:M18"/>
    <mergeCell ref="G19:H19"/>
    <mergeCell ref="I19:M19"/>
    <mergeCell ref="G20:H20"/>
    <mergeCell ref="I20:M20"/>
    <mergeCell ref="A13:C13"/>
    <mergeCell ref="D13:E13"/>
    <mergeCell ref="F15:O15"/>
    <mergeCell ref="F16:M16"/>
    <mergeCell ref="N16:O17"/>
    <mergeCell ref="G17:H17"/>
    <mergeCell ref="I17:M1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:R1"/>
    <mergeCell ref="K2:Q2"/>
    <mergeCell ref="A4:N4"/>
    <mergeCell ref="A5:N5"/>
    <mergeCell ref="B7:C7"/>
    <mergeCell ref="D7:E7"/>
  </mergeCells>
  <phoneticPr fontId="17"/>
  <conditionalFormatting sqref="H26:U26">
    <cfRule type="expression" dxfId="35" priority="14" stopIfTrue="1">
      <formula>$N$49=$E$99</formula>
    </cfRule>
    <cfRule type="cellIs" dxfId="34" priority="15" stopIfTrue="1" operator="equal">
      <formula>$E$99=$N$49</formula>
    </cfRule>
    <cfRule type="cellIs" dxfId="33" priority="16" stopIfTrue="1" operator="equal">
      <formula>$N$49=$E$99</formula>
    </cfRule>
  </conditionalFormatting>
  <conditionalFormatting sqref="P26">
    <cfRule type="expression" dxfId="32" priority="13" stopIfTrue="1">
      <formula>$P$49=$E$99</formula>
    </cfRule>
  </conditionalFormatting>
  <conditionalFormatting sqref="Q26">
    <cfRule type="expression" dxfId="31" priority="12" stopIfTrue="1">
      <formula>$Q$49=$E$99</formula>
    </cfRule>
  </conditionalFormatting>
  <conditionalFormatting sqref="R26">
    <cfRule type="expression" dxfId="30" priority="10" stopIfTrue="1">
      <formula>$R$49=$E$99</formula>
    </cfRule>
    <cfRule type="cellIs" dxfId="29" priority="11" stopIfTrue="1" operator="equal">
      <formula>$R$49=$E$99</formula>
    </cfRule>
  </conditionalFormatting>
  <conditionalFormatting sqref="S26">
    <cfRule type="expression" dxfId="28" priority="9" stopIfTrue="1">
      <formula>$S$49=$E$99</formula>
    </cfRule>
  </conditionalFormatting>
  <conditionalFormatting sqref="T26">
    <cfRule type="expression" dxfId="27" priority="8" stopIfTrue="1">
      <formula>$T$49=$E$99</formula>
    </cfRule>
  </conditionalFormatting>
  <conditionalFormatting sqref="U26">
    <cfRule type="expression" dxfId="26" priority="7" stopIfTrue="1">
      <formula>$U$49=$E$99</formula>
    </cfRule>
  </conditionalFormatting>
  <conditionalFormatting sqref="M26">
    <cfRule type="expression" dxfId="25" priority="6" stopIfTrue="1">
      <formula>$M$49=$E$99</formula>
    </cfRule>
  </conditionalFormatting>
  <conditionalFormatting sqref="L26">
    <cfRule type="expression" dxfId="24" priority="5" stopIfTrue="1">
      <formula>$L$49=$E$99</formula>
    </cfRule>
  </conditionalFormatting>
  <conditionalFormatting sqref="H26:U26">
    <cfRule type="expression" dxfId="23" priority="4" stopIfTrue="1">
      <formula>$H$49=$E$99</formula>
    </cfRule>
  </conditionalFormatting>
  <conditionalFormatting sqref="I26">
    <cfRule type="expression" dxfId="22" priority="3" stopIfTrue="1">
      <formula>$I$49=$E$99</formula>
    </cfRule>
  </conditionalFormatting>
  <conditionalFormatting sqref="J26">
    <cfRule type="expression" dxfId="21" priority="2" stopIfTrue="1">
      <formula>$J$49=$E$99</formula>
    </cfRule>
  </conditionalFormatting>
  <conditionalFormatting sqref="K26">
    <cfRule type="expression" dxfId="20" priority="1" stopIfTrue="1">
      <formula>$K$49=$E$99</formula>
    </cfRule>
  </conditionalFormatting>
  <conditionalFormatting sqref="O26:U26">
    <cfRule type="expression" dxfId="19" priority="17" stopIfTrue="1">
      <formula>$O$49=$E$99</formula>
    </cfRule>
    <cfRule type="expression" dxfId="18" priority="18" stopIfTrue="1">
      <formula>$O$4=$E$99</formula>
    </cfRule>
  </conditionalFormatting>
  <dataValidations count="2">
    <dataValidation type="whole" allowBlank="1" showInputMessage="1" showErrorMessage="1" sqref="D13:E13" xr:uid="{F87066D2-D644-4A1C-A625-F3F084501F60}">
      <formula1>1</formula1>
      <formula2>7</formula2>
    </dataValidation>
    <dataValidation type="whole" errorStyle="warning" operator="greaterThanOrEqual" allowBlank="1" showInputMessage="1" showErrorMessage="1" error="入力し直し" sqref="E7 D7:D10" xr:uid="{8BC73DEB-7814-4207-9B2B-CD8614A18BFC}">
      <formula1>100000</formula1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0518-B9DB-484D-8693-70939205CFB9}">
  <sheetPr>
    <pageSetUpPr fitToPage="1"/>
  </sheetPr>
  <dimension ref="A1:AH125"/>
  <sheetViews>
    <sheetView showZeros="0" view="pageBreakPreview" topLeftCell="A108" zoomScale="80" zoomScaleNormal="100" zoomScaleSheetLayoutView="80" workbookViewId="0">
      <selection activeCell="F119" sqref="F119"/>
    </sheetView>
  </sheetViews>
  <sheetFormatPr defaultColWidth="8.88671875" defaultRowHeight="13.2"/>
  <cols>
    <col min="1" max="1" width="9.21875" style="14" customWidth="1"/>
    <col min="2" max="2" width="24.33203125" style="14" customWidth="1"/>
    <col min="3" max="3" width="11.77734375" style="14" customWidth="1"/>
    <col min="4" max="4" width="11.109375" style="14" customWidth="1"/>
    <col min="5" max="5" width="13.77734375" style="14" customWidth="1"/>
    <col min="6" max="7" width="10.6640625" style="14" customWidth="1"/>
    <col min="8" max="8" width="13.109375" style="14" customWidth="1"/>
    <col min="9" max="21" width="10.6640625" style="14" customWidth="1"/>
    <col min="22" max="22" width="11.77734375" style="14" customWidth="1"/>
    <col min="23" max="16384" width="8.88671875" style="14"/>
  </cols>
  <sheetData>
    <row r="1" spans="1:23" s="1" customFormat="1" ht="31.2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3" s="2" customFormat="1" ht="28.2" customHeight="1">
      <c r="K2" s="275" t="s">
        <v>50</v>
      </c>
      <c r="L2" s="275"/>
      <c r="M2" s="275"/>
      <c r="N2" s="275"/>
      <c r="O2" s="275"/>
      <c r="P2" s="275"/>
      <c r="Q2" s="275"/>
    </row>
    <row r="3" spans="1:23" s="2" customFormat="1" ht="10.199999999999999" customHeight="1">
      <c r="L3" s="3"/>
      <c r="M3" s="3"/>
      <c r="N3" s="3"/>
    </row>
    <row r="4" spans="1:23" s="2" customFormat="1" ht="21.6" customHeight="1">
      <c r="A4" s="276" t="s">
        <v>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4"/>
      <c r="P4" s="4"/>
      <c r="Q4" s="4"/>
      <c r="R4" s="4"/>
      <c r="S4" s="4"/>
      <c r="T4" s="4"/>
      <c r="U4" s="4"/>
      <c r="V4" s="4"/>
    </row>
    <row r="5" spans="1:23" s="2" customFormat="1" ht="21.6" customHeight="1">
      <c r="A5" s="276" t="s">
        <v>61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4"/>
      <c r="P5" s="4"/>
      <c r="Q5" s="4"/>
      <c r="R5" s="4"/>
      <c r="S5" s="4"/>
      <c r="T5" s="4"/>
      <c r="U5" s="4"/>
      <c r="V5" s="4"/>
    </row>
    <row r="6" spans="1:23" ht="13.8" thickBot="1"/>
    <row r="7" spans="1:23" s="17" customFormat="1" ht="22.95" customHeight="1" thickBot="1">
      <c r="B7" s="268" t="s">
        <v>38</v>
      </c>
      <c r="C7" s="269"/>
      <c r="D7" s="277">
        <f>'信用保険料計算書（上限2000万）'!Q9</f>
        <v>0</v>
      </c>
      <c r="E7" s="278"/>
      <c r="F7" s="19" t="s">
        <v>19</v>
      </c>
      <c r="G7" s="20"/>
      <c r="H7" s="20"/>
      <c r="I7" s="20"/>
      <c r="J7" s="20"/>
      <c r="K7" s="20"/>
      <c r="L7" s="20"/>
    </row>
    <row r="8" spans="1:23" s="17" customFormat="1" ht="22.95" customHeight="1" thickBot="1">
      <c r="B8" s="268" t="s">
        <v>59</v>
      </c>
      <c r="C8" s="269"/>
      <c r="D8" s="270">
        <f>'信用保険料計算書（上限2000万）'!Q10</f>
        <v>0</v>
      </c>
      <c r="E8" s="271"/>
      <c r="F8" s="19" t="s">
        <v>19</v>
      </c>
      <c r="G8" s="20"/>
      <c r="H8" s="20"/>
      <c r="I8" s="20"/>
      <c r="J8" s="20"/>
      <c r="K8" s="20"/>
      <c r="L8" s="20"/>
    </row>
    <row r="9" spans="1:23" s="17" customFormat="1" ht="22.95" customHeight="1" thickBot="1">
      <c r="B9" s="268" t="s">
        <v>60</v>
      </c>
      <c r="C9" s="269"/>
      <c r="D9" s="272">
        <f>D7-D8</f>
        <v>0</v>
      </c>
      <c r="E9" s="273"/>
      <c r="F9" s="19" t="s">
        <v>19</v>
      </c>
      <c r="G9" s="20"/>
      <c r="H9" s="20"/>
      <c r="I9" s="20"/>
      <c r="J9" s="20"/>
      <c r="K9" s="20"/>
      <c r="L9" s="20"/>
    </row>
    <row r="10" spans="1:23" s="231" customFormat="1" ht="22.65" customHeight="1" thickBot="1">
      <c r="A10" s="279" t="s">
        <v>164</v>
      </c>
      <c r="B10" s="280"/>
      <c r="C10" s="281"/>
      <c r="D10" s="284">
        <f>INT(D9*F10)</f>
        <v>0</v>
      </c>
      <c r="E10" s="285"/>
      <c r="F10" s="227">
        <f>'信用保険料計算書（上限2000万）'!Q11</f>
        <v>0.1</v>
      </c>
      <c r="G10" s="228"/>
      <c r="H10" s="228"/>
      <c r="I10" s="228"/>
      <c r="J10" s="228"/>
      <c r="K10" s="228"/>
      <c r="L10" s="228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</row>
    <row r="11" spans="1:23" s="17" customFormat="1" ht="22.95" customHeight="1" thickBot="1">
      <c r="B11" s="268" t="s">
        <v>39</v>
      </c>
      <c r="C11" s="269"/>
      <c r="D11" s="277">
        <f>'信用保険料計算書（上限2000万）'!Q14</f>
        <v>0</v>
      </c>
      <c r="E11" s="278"/>
      <c r="F11" s="19" t="s">
        <v>18</v>
      </c>
      <c r="G11" s="20"/>
      <c r="H11" s="20"/>
      <c r="I11" s="20"/>
      <c r="J11" s="20"/>
      <c r="K11" s="20"/>
      <c r="L11" s="20"/>
    </row>
    <row r="12" spans="1:23" s="17" customFormat="1" ht="25.2" customHeight="1" thickBot="1">
      <c r="B12" s="268" t="s">
        <v>40</v>
      </c>
      <c r="C12" s="269"/>
      <c r="D12" s="282">
        <f>'信用保険料計算書（上限2000万）'!Q15</f>
        <v>0</v>
      </c>
      <c r="E12" s="283"/>
      <c r="F12" s="12" t="s">
        <v>29</v>
      </c>
      <c r="G12" s="286">
        <f>IF(D12="","",EDATE(D12,D11*12)-1)</f>
        <v>-1</v>
      </c>
      <c r="H12" s="286"/>
      <c r="I12" s="287" t="s">
        <v>154</v>
      </c>
      <c r="J12" s="288"/>
      <c r="K12" s="288"/>
      <c r="L12" s="288"/>
      <c r="M12" s="289"/>
    </row>
    <row r="13" spans="1:23" s="17" customFormat="1" ht="22.95" hidden="1" customHeight="1" thickBot="1">
      <c r="A13" s="268" t="s">
        <v>63</v>
      </c>
      <c r="B13" s="268"/>
      <c r="C13" s="269"/>
      <c r="D13" s="277"/>
      <c r="E13" s="278"/>
      <c r="F13" s="20"/>
      <c r="G13" s="20"/>
      <c r="H13" s="20"/>
      <c r="I13" s="20"/>
      <c r="J13" s="20"/>
      <c r="K13" s="20"/>
      <c r="L13" s="20"/>
    </row>
    <row r="14" spans="1:23" s="17" customFormat="1" ht="13.2" customHeight="1">
      <c r="B14" s="225"/>
      <c r="C14" s="21"/>
      <c r="D14" s="22"/>
      <c r="E14" s="22"/>
      <c r="F14" s="20"/>
      <c r="G14" s="20"/>
      <c r="H14" s="20"/>
      <c r="I14" s="20"/>
      <c r="J14" s="20"/>
      <c r="K14" s="20"/>
      <c r="L14" s="20"/>
    </row>
    <row r="15" spans="1:23" s="17" customFormat="1" ht="18" customHeight="1">
      <c r="B15" s="225"/>
      <c r="C15" s="21"/>
      <c r="D15" s="22"/>
      <c r="E15" s="22"/>
      <c r="F15" s="290" t="s">
        <v>76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23" ht="19.95" customHeight="1">
      <c r="C16" s="23"/>
      <c r="F16" s="291" t="s">
        <v>77</v>
      </c>
      <c r="G16" s="291"/>
      <c r="H16" s="291"/>
      <c r="I16" s="291"/>
      <c r="J16" s="291"/>
      <c r="K16" s="291"/>
      <c r="L16" s="291"/>
      <c r="M16" s="291"/>
      <c r="N16" s="292" t="s">
        <v>78</v>
      </c>
      <c r="O16" s="292"/>
    </row>
    <row r="17" spans="2:22" ht="19.95" customHeight="1">
      <c r="F17" s="224" t="s">
        <v>79</v>
      </c>
      <c r="G17" s="291" t="s">
        <v>80</v>
      </c>
      <c r="H17" s="291"/>
      <c r="I17" s="291" t="s">
        <v>81</v>
      </c>
      <c r="J17" s="291"/>
      <c r="K17" s="291"/>
      <c r="L17" s="291"/>
      <c r="M17" s="291"/>
      <c r="N17" s="292"/>
      <c r="O17" s="292"/>
    </row>
    <row r="18" spans="2:22" ht="51" customHeight="1">
      <c r="F18" s="26">
        <v>1</v>
      </c>
      <c r="G18" s="292" t="s">
        <v>82</v>
      </c>
      <c r="H18" s="292"/>
      <c r="I18" s="294" t="s">
        <v>83</v>
      </c>
      <c r="J18" s="294"/>
      <c r="K18" s="294"/>
      <c r="L18" s="294"/>
      <c r="M18" s="294"/>
      <c r="N18" s="27">
        <v>3.42</v>
      </c>
      <c r="O18" s="28" t="s">
        <v>19</v>
      </c>
    </row>
    <row r="19" spans="2:22" ht="19.95" customHeight="1">
      <c r="F19" s="26">
        <v>2</v>
      </c>
      <c r="G19" s="292" t="s">
        <v>84</v>
      </c>
      <c r="H19" s="292"/>
      <c r="I19" s="294" t="s">
        <v>85</v>
      </c>
      <c r="J19" s="294"/>
      <c r="K19" s="294"/>
      <c r="L19" s="294"/>
      <c r="M19" s="294"/>
      <c r="N19" s="27">
        <v>1.35</v>
      </c>
      <c r="O19" s="28" t="s">
        <v>19</v>
      </c>
    </row>
    <row r="20" spans="2:22" ht="26.4" customHeight="1">
      <c r="F20" s="26">
        <v>3</v>
      </c>
      <c r="G20" s="292" t="s">
        <v>86</v>
      </c>
      <c r="H20" s="292"/>
      <c r="I20" s="294" t="s">
        <v>87</v>
      </c>
      <c r="J20" s="294"/>
      <c r="K20" s="294"/>
      <c r="L20" s="294"/>
      <c r="M20" s="294"/>
      <c r="N20" s="27">
        <v>1.44</v>
      </c>
      <c r="O20" s="28" t="s">
        <v>19</v>
      </c>
    </row>
    <row r="21" spans="2:22" ht="37.200000000000003" customHeight="1">
      <c r="F21" s="29">
        <v>4</v>
      </c>
      <c r="G21" s="295" t="s">
        <v>88</v>
      </c>
      <c r="H21" s="30" t="s">
        <v>89</v>
      </c>
      <c r="I21" s="297" t="s">
        <v>90</v>
      </c>
      <c r="J21" s="297"/>
      <c r="K21" s="297"/>
      <c r="L21" s="297"/>
      <c r="M21" s="297"/>
      <c r="N21" s="31">
        <v>2.52</v>
      </c>
      <c r="O21" s="32" t="s">
        <v>19</v>
      </c>
    </row>
    <row r="22" spans="2:22" ht="37.200000000000003" customHeight="1">
      <c r="F22" s="33">
        <v>5</v>
      </c>
      <c r="G22" s="296"/>
      <c r="H22" s="34" t="s">
        <v>91</v>
      </c>
      <c r="I22" s="293" t="s">
        <v>92</v>
      </c>
      <c r="J22" s="293"/>
      <c r="K22" s="293"/>
      <c r="L22" s="293"/>
      <c r="M22" s="293"/>
      <c r="N22" s="35">
        <v>2.79</v>
      </c>
      <c r="O22" s="36" t="s">
        <v>19</v>
      </c>
    </row>
    <row r="23" spans="2:22" ht="26.4" customHeight="1">
      <c r="F23" s="29">
        <v>6</v>
      </c>
      <c r="G23" s="297" t="s">
        <v>93</v>
      </c>
      <c r="H23" s="297"/>
      <c r="I23" s="297" t="s">
        <v>94</v>
      </c>
      <c r="J23" s="297"/>
      <c r="K23" s="297"/>
      <c r="L23" s="297"/>
      <c r="M23" s="297"/>
      <c r="N23" s="31">
        <v>1.35</v>
      </c>
      <c r="O23" s="32" t="s">
        <v>19</v>
      </c>
    </row>
    <row r="24" spans="2:22" ht="17.399999999999999" customHeight="1">
      <c r="F24" s="33">
        <v>7</v>
      </c>
      <c r="G24" s="293"/>
      <c r="H24" s="293"/>
      <c r="I24" s="293" t="s">
        <v>95</v>
      </c>
      <c r="J24" s="293"/>
      <c r="K24" s="293"/>
      <c r="L24" s="293"/>
      <c r="M24" s="293"/>
      <c r="N24" s="35">
        <v>1.8</v>
      </c>
      <c r="O24" s="36" t="s">
        <v>19</v>
      </c>
    </row>
    <row r="25" spans="2:22" ht="13.2" customHeight="1">
      <c r="F25" s="37"/>
      <c r="G25" s="38"/>
      <c r="H25" s="38"/>
      <c r="I25" s="38"/>
      <c r="J25" s="38"/>
      <c r="K25" s="38"/>
      <c r="L25" s="38"/>
      <c r="M25" s="38"/>
      <c r="N25" s="39"/>
      <c r="O25" s="40"/>
    </row>
    <row r="26" spans="2:22" s="41" customFormat="1" ht="20.399999999999999" customHeight="1">
      <c r="E26" s="42"/>
      <c r="F26" s="42"/>
      <c r="G26" s="42"/>
      <c r="H26" s="43" t="str">
        <f>IF(H47=$E$98,$E$101," ")</f>
        <v xml:space="preserve"> </v>
      </c>
      <c r="I26" s="43" t="str">
        <f t="shared" ref="I26:U26" si="0">IF(I47=$E$98,$E$101," ")</f>
        <v xml:space="preserve"> </v>
      </c>
      <c r="J26" s="43" t="str">
        <f t="shared" si="0"/>
        <v xml:space="preserve"> </v>
      </c>
      <c r="K26" s="43" t="str">
        <f t="shared" si="0"/>
        <v xml:space="preserve"> </v>
      </c>
      <c r="L26" s="43" t="str">
        <f t="shared" si="0"/>
        <v xml:space="preserve"> </v>
      </c>
      <c r="M26" s="43" t="str">
        <f t="shared" si="0"/>
        <v xml:space="preserve"> </v>
      </c>
      <c r="N26" s="44" t="str">
        <f t="shared" si="0"/>
        <v xml:space="preserve"> </v>
      </c>
      <c r="O26" s="43" t="str">
        <f t="shared" si="0"/>
        <v xml:space="preserve"> </v>
      </c>
      <c r="P26" s="43" t="str">
        <f t="shared" si="0"/>
        <v xml:space="preserve"> </v>
      </c>
      <c r="Q26" s="43" t="str">
        <f t="shared" si="0"/>
        <v xml:space="preserve"> </v>
      </c>
      <c r="R26" s="43" t="str">
        <f t="shared" si="0"/>
        <v xml:space="preserve"> </v>
      </c>
      <c r="S26" s="43" t="str">
        <f t="shared" si="0"/>
        <v xml:space="preserve"> </v>
      </c>
      <c r="T26" s="43" t="str">
        <f t="shared" si="0"/>
        <v xml:space="preserve"> </v>
      </c>
      <c r="U26" s="43" t="str">
        <f t="shared" si="0"/>
        <v xml:space="preserve"> </v>
      </c>
    </row>
    <row r="27" spans="2:22" s="17" customFormat="1" ht="19.2" customHeight="1">
      <c r="B27" s="298" t="s">
        <v>171</v>
      </c>
      <c r="C27" s="6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7">
        <v>16</v>
      </c>
      <c r="S27" s="7">
        <v>17</v>
      </c>
      <c r="T27" s="7">
        <v>18</v>
      </c>
      <c r="U27" s="8">
        <v>19</v>
      </c>
      <c r="V27" s="298" t="s">
        <v>16</v>
      </c>
    </row>
    <row r="28" spans="2:22" s="17" customFormat="1" ht="14.4" customHeight="1">
      <c r="B28" s="299"/>
      <c r="C28" s="45">
        <f>DATE(B99,C99,1)</f>
        <v>61</v>
      </c>
      <c r="D28" s="46">
        <f>EDATE(C28,6)</f>
        <v>245</v>
      </c>
      <c r="E28" s="46">
        <f>EDATE(D28,6)</f>
        <v>426</v>
      </c>
      <c r="F28" s="46">
        <f>EDATE(E28,6)</f>
        <v>610</v>
      </c>
      <c r="G28" s="46">
        <f>EDATE(F28,6)</f>
        <v>791</v>
      </c>
      <c r="H28" s="46">
        <f t="shared" ref="H28:U28" si="1">EDATE(G28,6)</f>
        <v>975</v>
      </c>
      <c r="I28" s="46">
        <f t="shared" si="1"/>
        <v>1156</v>
      </c>
      <c r="J28" s="46">
        <f t="shared" si="1"/>
        <v>1340</v>
      </c>
      <c r="K28" s="46">
        <f t="shared" si="1"/>
        <v>1522</v>
      </c>
      <c r="L28" s="46">
        <f t="shared" si="1"/>
        <v>1706</v>
      </c>
      <c r="M28" s="46">
        <f t="shared" si="1"/>
        <v>1887</v>
      </c>
      <c r="N28" s="46">
        <f t="shared" si="1"/>
        <v>2071</v>
      </c>
      <c r="O28" s="46">
        <f t="shared" si="1"/>
        <v>2252</v>
      </c>
      <c r="P28" s="46">
        <f t="shared" si="1"/>
        <v>2436</v>
      </c>
      <c r="Q28" s="46">
        <f t="shared" si="1"/>
        <v>2617</v>
      </c>
      <c r="R28" s="46">
        <f t="shared" si="1"/>
        <v>2801</v>
      </c>
      <c r="S28" s="46">
        <f t="shared" si="1"/>
        <v>2983</v>
      </c>
      <c r="T28" s="46">
        <f t="shared" si="1"/>
        <v>3167</v>
      </c>
      <c r="U28" s="47">
        <f t="shared" si="1"/>
        <v>3348</v>
      </c>
      <c r="V28" s="299"/>
    </row>
    <row r="29" spans="2:22" s="17" customFormat="1" ht="14.4" customHeight="1">
      <c r="B29" s="300"/>
      <c r="C29" s="9" t="s">
        <v>172</v>
      </c>
      <c r="D29" s="10" t="s">
        <v>172</v>
      </c>
      <c r="E29" s="10" t="s">
        <v>172</v>
      </c>
      <c r="F29" s="10" t="s">
        <v>172</v>
      </c>
      <c r="G29" s="10" t="s">
        <v>172</v>
      </c>
      <c r="H29" s="10" t="s">
        <v>172</v>
      </c>
      <c r="I29" s="10" t="s">
        <v>172</v>
      </c>
      <c r="J29" s="10" t="s">
        <v>172</v>
      </c>
      <c r="K29" s="10" t="s">
        <v>172</v>
      </c>
      <c r="L29" s="10" t="s">
        <v>172</v>
      </c>
      <c r="M29" s="10" t="s">
        <v>172</v>
      </c>
      <c r="N29" s="10" t="s">
        <v>172</v>
      </c>
      <c r="O29" s="10" t="s">
        <v>172</v>
      </c>
      <c r="P29" s="10" t="s">
        <v>172</v>
      </c>
      <c r="Q29" s="10" t="s">
        <v>172</v>
      </c>
      <c r="R29" s="10" t="s">
        <v>172</v>
      </c>
      <c r="S29" s="10" t="s">
        <v>172</v>
      </c>
      <c r="T29" s="10" t="s">
        <v>172</v>
      </c>
      <c r="U29" s="11" t="s">
        <v>172</v>
      </c>
      <c r="V29" s="300"/>
    </row>
    <row r="30" spans="2:22" ht="22.2" customHeight="1">
      <c r="B30" s="48" t="s">
        <v>173</v>
      </c>
      <c r="C30" s="49" t="e">
        <f t="shared" ref="C30:U31" si="2">C51+C54</f>
        <v>#DIV/0!</v>
      </c>
      <c r="D30" s="50" t="e">
        <f t="shared" si="2"/>
        <v>#DIV/0!</v>
      </c>
      <c r="E30" s="50" t="e">
        <f t="shared" si="2"/>
        <v>#DIV/0!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50">
        <f t="shared" si="2"/>
        <v>0</v>
      </c>
      <c r="U30" s="51">
        <f t="shared" si="2"/>
        <v>0</v>
      </c>
      <c r="V30" s="52" t="e">
        <f t="shared" ref="V30:V35" si="3">SUM(C30:U30)</f>
        <v>#DIV/0!</v>
      </c>
    </row>
    <row r="31" spans="2:22" ht="22.2" customHeight="1">
      <c r="B31" s="53" t="s">
        <v>174</v>
      </c>
      <c r="C31" s="54" t="e">
        <f t="shared" si="2"/>
        <v>#DIV/0!</v>
      </c>
      <c r="D31" s="54" t="e">
        <f t="shared" si="2"/>
        <v>#DIV/0!</v>
      </c>
      <c r="E31" s="54" t="e">
        <f t="shared" si="2"/>
        <v>#DIV/0!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>J52+J55</f>
        <v>0</v>
      </c>
      <c r="K31" s="54">
        <f>K52+K55</f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5">
        <f t="shared" si="2"/>
        <v>0</v>
      </c>
      <c r="V31" s="56" t="e">
        <f t="shared" si="3"/>
        <v>#DIV/0!</v>
      </c>
    </row>
    <row r="32" spans="2:22" ht="22.2" customHeight="1">
      <c r="B32" s="48" t="s">
        <v>175</v>
      </c>
      <c r="C32" s="49"/>
      <c r="D32" s="50">
        <f t="shared" ref="D32:N32" si="4">D62</f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0">
        <f t="shared" si="4"/>
        <v>0</v>
      </c>
      <c r="O32" s="50">
        <f>O62</f>
        <v>0</v>
      </c>
      <c r="P32" s="50">
        <f t="shared" ref="P32:U32" si="5">P62</f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51">
        <f t="shared" si="5"/>
        <v>0</v>
      </c>
      <c r="V32" s="52">
        <f t="shared" si="3"/>
        <v>0</v>
      </c>
    </row>
    <row r="33" spans="1:34" ht="22.2" customHeight="1">
      <c r="B33" s="53" t="s">
        <v>176</v>
      </c>
      <c r="C33" s="57"/>
      <c r="D33" s="54">
        <f t="shared" ref="D33:N33" si="6">D32*$E$106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>INT(O32*$E$106)</f>
        <v>0</v>
      </c>
      <c r="P33" s="54">
        <f t="shared" ref="P33:U33" si="7">P32*$E$106</f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5">
        <f t="shared" si="7"/>
        <v>0</v>
      </c>
      <c r="V33" s="56">
        <f t="shared" si="3"/>
        <v>0</v>
      </c>
    </row>
    <row r="34" spans="1:34" ht="36" customHeight="1">
      <c r="B34" s="58" t="s">
        <v>177</v>
      </c>
      <c r="C34" s="59">
        <f t="shared" ref="C34:U34" si="8">IF($D$13=6,0,IF($D$13=7,0,(C53+C56)))</f>
        <v>0</v>
      </c>
      <c r="D34" s="60">
        <f t="shared" si="8"/>
        <v>0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 t="shared" si="8"/>
        <v>#DIV/0!</v>
      </c>
      <c r="O34" s="60" t="e">
        <f t="shared" si="8"/>
        <v>#DIV/0!</v>
      </c>
      <c r="P34" s="60" t="e">
        <f t="shared" si="8"/>
        <v>#DIV/0!</v>
      </c>
      <c r="Q34" s="60" t="e">
        <f t="shared" si="8"/>
        <v>#DIV/0!</v>
      </c>
      <c r="R34" s="60" t="e">
        <f t="shared" si="8"/>
        <v>#DIV/0!</v>
      </c>
      <c r="S34" s="60" t="e">
        <f t="shared" si="8"/>
        <v>#DIV/0!</v>
      </c>
      <c r="T34" s="60" t="e">
        <f t="shared" si="8"/>
        <v>#DIV/0!</v>
      </c>
      <c r="U34" s="61" t="e">
        <f t="shared" si="8"/>
        <v>#DIV/0!</v>
      </c>
      <c r="V34" s="62" t="e">
        <f t="shared" si="3"/>
        <v>#DIV/0!</v>
      </c>
    </row>
    <row r="35" spans="1:34" ht="22.2" customHeight="1">
      <c r="B35" s="63" t="s">
        <v>178</v>
      </c>
      <c r="C35" s="64" t="str">
        <f>IF(ISBLANK(D13),"α",IF(D13&lt;=7,ROUND(D7*(1+$E$106)*VLOOKUP(D11,L88:M95,2)/100*VLOOKUP(D13,F18:O24,9)/1000,-1),"α"))</f>
        <v>α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>
        <f t="shared" si="3"/>
        <v>0</v>
      </c>
    </row>
    <row r="36" spans="1:34" ht="25.2" customHeight="1">
      <c r="B36" s="65" t="s">
        <v>179</v>
      </c>
      <c r="C36" s="66" t="e">
        <f t="shared" ref="C36:V36" si="9">SUM(C30:C35)</f>
        <v>#DIV/0!</v>
      </c>
      <c r="D36" s="67" t="e">
        <f t="shared" si="9"/>
        <v>#DIV/0!</v>
      </c>
      <c r="E36" s="67" t="e">
        <f t="shared" si="9"/>
        <v>#DIV/0!</v>
      </c>
      <c r="F36" s="67" t="e">
        <f t="shared" si="9"/>
        <v>#DIV/0!</v>
      </c>
      <c r="G36" s="67" t="e">
        <f t="shared" si="9"/>
        <v>#DIV/0!</v>
      </c>
      <c r="H36" s="67" t="e">
        <f t="shared" si="9"/>
        <v>#DIV/0!</v>
      </c>
      <c r="I36" s="67" t="e">
        <f t="shared" si="9"/>
        <v>#DIV/0!</v>
      </c>
      <c r="J36" s="67" t="e">
        <f t="shared" si="9"/>
        <v>#DIV/0!</v>
      </c>
      <c r="K36" s="67" t="e">
        <f t="shared" si="9"/>
        <v>#DIV/0!</v>
      </c>
      <c r="L36" s="67" t="e">
        <f t="shared" si="9"/>
        <v>#DIV/0!</v>
      </c>
      <c r="M36" s="67" t="e">
        <f t="shared" si="9"/>
        <v>#DIV/0!</v>
      </c>
      <c r="N36" s="67" t="e">
        <f t="shared" si="9"/>
        <v>#DIV/0!</v>
      </c>
      <c r="O36" s="67" t="e">
        <f t="shared" si="9"/>
        <v>#DIV/0!</v>
      </c>
      <c r="P36" s="67" t="e">
        <f t="shared" si="9"/>
        <v>#DIV/0!</v>
      </c>
      <c r="Q36" s="67" t="e">
        <f t="shared" si="9"/>
        <v>#DIV/0!</v>
      </c>
      <c r="R36" s="67" t="e">
        <f t="shared" si="9"/>
        <v>#DIV/0!</v>
      </c>
      <c r="S36" s="67" t="e">
        <f t="shared" si="9"/>
        <v>#DIV/0!</v>
      </c>
      <c r="T36" s="67" t="e">
        <f t="shared" si="9"/>
        <v>#DIV/0!</v>
      </c>
      <c r="U36" s="68" t="e">
        <f t="shared" si="9"/>
        <v>#DIV/0!</v>
      </c>
      <c r="V36" s="62" t="e">
        <f t="shared" si="9"/>
        <v>#DIV/0!</v>
      </c>
    </row>
    <row r="37" spans="1:34" ht="18.600000000000001" customHeight="1"/>
    <row r="38" spans="1:34" ht="17.399999999999999" customHeight="1">
      <c r="B38" s="69" t="s">
        <v>180</v>
      </c>
      <c r="E38" s="70"/>
      <c r="I38" s="71" t="s">
        <v>181</v>
      </c>
      <c r="R38" s="72" t="str">
        <f>IF($D$11&gt;$G$114,"⇒信用保険契約期限は、 "&amp;$G$114&amp;"年間が限度となります。","")</f>
        <v/>
      </c>
    </row>
    <row r="39" spans="1:34" s="77" customFormat="1" ht="16.2" customHeight="1">
      <c r="A39" s="222"/>
      <c r="B39" s="74" t="s">
        <v>182</v>
      </c>
      <c r="C39" s="75">
        <f>IF(DATEVALUE("2018/3/31")&lt;$D$12,INT(D9*(1+$E$106)),D9)</f>
        <v>0</v>
      </c>
      <c r="D39" s="76">
        <f>IF(AND(D48=0,D59=0),(C39-(C30+C31)),IF(AND(D48=1,D59=1),(C39-(C30+C31)),0))</f>
        <v>0</v>
      </c>
      <c r="E39" s="76">
        <f>IF(AND(E48=0,E59=0),(D39-(D30+D31)),IF(AND(E48=1,E59=1),(D39-(D30+D31)),0))</f>
        <v>0</v>
      </c>
      <c r="F39" s="76">
        <f t="shared" ref="F39:U39" si="10">IF(AND(F48=0,F59=0),(E39-(E30+E31)),IF(AND(F48=1,F59=1),(E39-(E30+E31)),0))</f>
        <v>0</v>
      </c>
      <c r="G39" s="76">
        <f t="shared" si="10"/>
        <v>0</v>
      </c>
      <c r="H39" s="76">
        <f t="shared" si="10"/>
        <v>0</v>
      </c>
      <c r="I39" s="76">
        <f t="shared" si="10"/>
        <v>0</v>
      </c>
      <c r="J39" s="76">
        <f t="shared" si="10"/>
        <v>0</v>
      </c>
      <c r="K39" s="76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6">
        <f t="shared" si="10"/>
        <v>0</v>
      </c>
      <c r="P39" s="76">
        <f t="shared" si="10"/>
        <v>0</v>
      </c>
      <c r="Q39" s="76">
        <f t="shared" si="10"/>
        <v>0</v>
      </c>
      <c r="R39" s="76">
        <f t="shared" si="10"/>
        <v>0</v>
      </c>
      <c r="S39" s="76">
        <f t="shared" si="10"/>
        <v>0</v>
      </c>
      <c r="T39" s="76">
        <f t="shared" si="10"/>
        <v>0</v>
      </c>
      <c r="U39" s="76">
        <f t="shared" si="10"/>
        <v>0</v>
      </c>
      <c r="V39" s="301" t="s">
        <v>183</v>
      </c>
    </row>
    <row r="40" spans="1:34" ht="16.2" customHeight="1">
      <c r="A40" s="78"/>
      <c r="B40" s="79" t="s">
        <v>184</v>
      </c>
      <c r="C40" s="80">
        <f t="shared" ref="C40:U40" si="11">IF(C39&gt;$F$114,$F$114,C39)</f>
        <v>0</v>
      </c>
      <c r="D40" s="81">
        <f t="shared" si="11"/>
        <v>0</v>
      </c>
      <c r="E40" s="81">
        <f t="shared" si="11"/>
        <v>0</v>
      </c>
      <c r="F40" s="81">
        <f t="shared" si="11"/>
        <v>0</v>
      </c>
      <c r="G40" s="81">
        <f t="shared" si="11"/>
        <v>0</v>
      </c>
      <c r="H40" s="81">
        <f t="shared" si="11"/>
        <v>0</v>
      </c>
      <c r="I40" s="81">
        <f t="shared" si="11"/>
        <v>0</v>
      </c>
      <c r="J40" s="81">
        <f t="shared" si="11"/>
        <v>0</v>
      </c>
      <c r="K40" s="81">
        <f t="shared" si="11"/>
        <v>0</v>
      </c>
      <c r="L40" s="81">
        <f t="shared" si="11"/>
        <v>0</v>
      </c>
      <c r="M40" s="81">
        <f t="shared" si="11"/>
        <v>0</v>
      </c>
      <c r="N40" s="81">
        <f t="shared" si="11"/>
        <v>0</v>
      </c>
      <c r="O40" s="81">
        <f t="shared" si="11"/>
        <v>0</v>
      </c>
      <c r="P40" s="81">
        <f t="shared" si="11"/>
        <v>0</v>
      </c>
      <c r="Q40" s="81">
        <f t="shared" si="11"/>
        <v>0</v>
      </c>
      <c r="R40" s="82">
        <f t="shared" si="11"/>
        <v>0</v>
      </c>
      <c r="S40" s="83">
        <f t="shared" si="11"/>
        <v>0</v>
      </c>
      <c r="T40" s="83">
        <f t="shared" si="11"/>
        <v>0</v>
      </c>
      <c r="U40" s="84">
        <f t="shared" si="11"/>
        <v>0</v>
      </c>
      <c r="V40" s="302"/>
    </row>
    <row r="41" spans="1:34" ht="16.2" customHeight="1">
      <c r="A41" s="78"/>
      <c r="B41" s="85" t="s">
        <v>185</v>
      </c>
      <c r="C41" s="86">
        <f>INT(ROUNDDOWN((ROUNDDOWN(C40*0.0048/12,2))*6,0)*$D$65)</f>
        <v>0</v>
      </c>
      <c r="D41" s="87">
        <f>IF(AND(D48=0,D59=0),INT(ROUNDDOWN(D40*0.0048/12,2)*6),IF(AND(D48=1,D59=1),INT(ROUNDDOWN((ROUNDDOWN(D40*0.0048/12,2))*6,0)*$E$65),0))</f>
        <v>0</v>
      </c>
      <c r="E41" s="87">
        <f t="shared" ref="E41:U41" si="12">IF(AND(E48=0,E59=0),INT(ROUNDDOWN(E40*0.0048/12,2)*6),IF(AND(E48=1,E59=1),INT(ROUNDDOWN((ROUNDDOWN(E40*0.0048/12,2))*6,0)*$E$65),0))</f>
        <v>0</v>
      </c>
      <c r="F41" s="87">
        <f t="shared" si="12"/>
        <v>0</v>
      </c>
      <c r="G41" s="87">
        <f t="shared" si="12"/>
        <v>0</v>
      </c>
      <c r="H41" s="87">
        <f t="shared" si="12"/>
        <v>0</v>
      </c>
      <c r="I41" s="87">
        <f t="shared" si="12"/>
        <v>0</v>
      </c>
      <c r="J41" s="87">
        <f t="shared" si="12"/>
        <v>0</v>
      </c>
      <c r="K41" s="87">
        <f t="shared" si="12"/>
        <v>0</v>
      </c>
      <c r="L41" s="87">
        <f t="shared" si="12"/>
        <v>0</v>
      </c>
      <c r="M41" s="87">
        <f t="shared" si="12"/>
        <v>0</v>
      </c>
      <c r="N41" s="87">
        <f t="shared" si="12"/>
        <v>0</v>
      </c>
      <c r="O41" s="87">
        <f t="shared" si="12"/>
        <v>0</v>
      </c>
      <c r="P41" s="87">
        <f t="shared" si="12"/>
        <v>0</v>
      </c>
      <c r="Q41" s="87">
        <f t="shared" si="12"/>
        <v>0</v>
      </c>
      <c r="R41" s="88">
        <f t="shared" si="12"/>
        <v>0</v>
      </c>
      <c r="S41" s="89">
        <f t="shared" si="12"/>
        <v>0</v>
      </c>
      <c r="T41" s="89">
        <f t="shared" si="12"/>
        <v>0</v>
      </c>
      <c r="U41" s="90">
        <f t="shared" si="12"/>
        <v>0</v>
      </c>
      <c r="V41" s="91">
        <f>SUM(C41:U41)</f>
        <v>0</v>
      </c>
    </row>
    <row r="42" spans="1:34" ht="24">
      <c r="A42" s="78"/>
      <c r="B42" s="92" t="s">
        <v>186</v>
      </c>
      <c r="C42" s="93">
        <f>IF(C39*0.95&gt;$F$114,$F$114,C39*0.95)</f>
        <v>0</v>
      </c>
      <c r="D42" s="94">
        <f>IF(D39*0.95&gt;$F$114,$F$114,D39*0.95)</f>
        <v>0</v>
      </c>
      <c r="E42" s="94">
        <f t="shared" ref="E42:U42" si="13">IF(E39*0.95&gt;$F$114,$F$114,E39*0.95)</f>
        <v>0</v>
      </c>
      <c r="F42" s="94">
        <f t="shared" si="13"/>
        <v>0</v>
      </c>
      <c r="G42" s="94">
        <f t="shared" si="13"/>
        <v>0</v>
      </c>
      <c r="H42" s="94">
        <f t="shared" si="13"/>
        <v>0</v>
      </c>
      <c r="I42" s="94">
        <f t="shared" si="13"/>
        <v>0</v>
      </c>
      <c r="J42" s="94">
        <f t="shared" si="13"/>
        <v>0</v>
      </c>
      <c r="K42" s="94">
        <f t="shared" si="13"/>
        <v>0</v>
      </c>
      <c r="L42" s="94">
        <f t="shared" si="13"/>
        <v>0</v>
      </c>
      <c r="M42" s="94">
        <f t="shared" si="13"/>
        <v>0</v>
      </c>
      <c r="N42" s="94">
        <f t="shared" si="13"/>
        <v>0</v>
      </c>
      <c r="O42" s="94">
        <f t="shared" si="13"/>
        <v>0</v>
      </c>
      <c r="P42" s="94">
        <f t="shared" si="13"/>
        <v>0</v>
      </c>
      <c r="Q42" s="94">
        <f t="shared" si="13"/>
        <v>0</v>
      </c>
      <c r="R42" s="95">
        <f t="shared" si="13"/>
        <v>0</v>
      </c>
      <c r="S42" s="96">
        <f t="shared" si="13"/>
        <v>0</v>
      </c>
      <c r="T42" s="96">
        <f t="shared" si="13"/>
        <v>0</v>
      </c>
      <c r="U42" s="97">
        <f t="shared" si="13"/>
        <v>0</v>
      </c>
      <c r="V42" s="62"/>
    </row>
    <row r="43" spans="1:34" ht="13.8" thickBot="1"/>
    <row r="44" spans="1:34" ht="16.8" thickBot="1">
      <c r="A44" s="98"/>
      <c r="B44" s="99" t="s">
        <v>187</v>
      </c>
      <c r="C44" s="100">
        <f>K106</f>
        <v>0.01</v>
      </c>
      <c r="R44" s="303" t="s">
        <v>188</v>
      </c>
      <c r="S44" s="303"/>
      <c r="T44" s="303"/>
      <c r="U44" s="303"/>
      <c r="V44" s="101" t="e">
        <f>V30+V32</f>
        <v>#DIV/0!</v>
      </c>
      <c r="W44" s="102" t="e">
        <f>IF(V44=D9,"OK","エラー")</f>
        <v>#DIV/0!</v>
      </c>
    </row>
    <row r="45" spans="1:34" ht="13.8" thickBot="1">
      <c r="A45" s="103">
        <f>MONTH(D12)</f>
        <v>1</v>
      </c>
      <c r="B45" s="14" t="s">
        <v>0</v>
      </c>
    </row>
    <row r="46" spans="1:34">
      <c r="A46" s="232"/>
    </row>
    <row r="47" spans="1:34">
      <c r="B47" s="14" t="s">
        <v>189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</row>
    <row r="48" spans="1:34" s="104" customFormat="1">
      <c r="B48" s="104" t="s">
        <v>190</v>
      </c>
      <c r="C48" s="104">
        <f t="shared" ref="C48:U48" si="14">IF((IF($D$11&gt;$G$114,$G$114,$D$11)*2)&lt;C47,1,0)</f>
        <v>1</v>
      </c>
      <c r="D48" s="104">
        <f t="shared" si="14"/>
        <v>1</v>
      </c>
      <c r="E48" s="104">
        <f t="shared" si="14"/>
        <v>1</v>
      </c>
      <c r="F48" s="104">
        <f t="shared" si="14"/>
        <v>1</v>
      </c>
      <c r="G48" s="104">
        <f t="shared" si="14"/>
        <v>1</v>
      </c>
      <c r="H48" s="104">
        <f t="shared" si="14"/>
        <v>1</v>
      </c>
      <c r="I48" s="104">
        <f t="shared" si="14"/>
        <v>1</v>
      </c>
      <c r="J48" s="104">
        <f t="shared" si="14"/>
        <v>1</v>
      </c>
      <c r="K48" s="104">
        <f t="shared" si="14"/>
        <v>1</v>
      </c>
      <c r="L48" s="104">
        <f t="shared" si="14"/>
        <v>1</v>
      </c>
      <c r="M48" s="104">
        <f t="shared" si="14"/>
        <v>1</v>
      </c>
      <c r="N48" s="104">
        <f t="shared" si="14"/>
        <v>1</v>
      </c>
      <c r="O48" s="104">
        <f t="shared" si="14"/>
        <v>1</v>
      </c>
      <c r="P48" s="104">
        <f t="shared" si="14"/>
        <v>1</v>
      </c>
      <c r="Q48" s="104">
        <f t="shared" si="14"/>
        <v>1</v>
      </c>
      <c r="R48" s="104">
        <f t="shared" si="14"/>
        <v>1</v>
      </c>
      <c r="S48" s="104">
        <f t="shared" si="14"/>
        <v>1</v>
      </c>
      <c r="T48" s="104">
        <f t="shared" si="14"/>
        <v>1</v>
      </c>
      <c r="U48" s="104">
        <f t="shared" si="14"/>
        <v>1</v>
      </c>
      <c r="V48" s="104">
        <f t="shared" ref="V48" si="15">IF((IF($D$8&gt;9,9,$D$8)*2)&lt;V47,1,0)</f>
        <v>0</v>
      </c>
      <c r="W48" s="104">
        <f t="shared" ref="W48:AG48" si="16">IF((IF($D$8&gt;9,9,$D$8)*2)&lt;W47,1,0)</f>
        <v>0</v>
      </c>
      <c r="X48" s="104">
        <f t="shared" si="16"/>
        <v>0</v>
      </c>
      <c r="Y48" s="104">
        <f t="shared" si="16"/>
        <v>0</v>
      </c>
      <c r="Z48" s="104">
        <f t="shared" si="16"/>
        <v>0</v>
      </c>
      <c r="AA48" s="104">
        <f t="shared" si="16"/>
        <v>0</v>
      </c>
      <c r="AB48" s="104">
        <f t="shared" si="16"/>
        <v>0</v>
      </c>
      <c r="AC48" s="104">
        <f t="shared" si="16"/>
        <v>0</v>
      </c>
      <c r="AD48" s="104">
        <f t="shared" si="16"/>
        <v>0</v>
      </c>
      <c r="AE48" s="104">
        <f t="shared" si="16"/>
        <v>0</v>
      </c>
      <c r="AF48" s="104">
        <f t="shared" si="16"/>
        <v>0</v>
      </c>
      <c r="AG48" s="104">
        <f t="shared" si="16"/>
        <v>0</v>
      </c>
      <c r="AH48" s="104" t="s">
        <v>97</v>
      </c>
    </row>
    <row r="49" spans="1:29">
      <c r="B49" s="14" t="s">
        <v>192</v>
      </c>
      <c r="C49" s="14">
        <f>IF($D$11*2&lt;C47,1,0)</f>
        <v>1</v>
      </c>
      <c r="D49" s="14">
        <f>IF($D$11*2&lt;D47,1,0)</f>
        <v>1</v>
      </c>
      <c r="E49" s="14">
        <f>IF($D$11*2&lt;E47,1,0)</f>
        <v>1</v>
      </c>
      <c r="F49" s="105">
        <f>IF($D$11*2&lt;F47,1,0)</f>
        <v>1</v>
      </c>
      <c r="G49" s="105">
        <f t="shared" ref="G49:U49" si="17">IF($D$11*2&lt;G47,1,0)</f>
        <v>1</v>
      </c>
      <c r="H49" s="105">
        <f t="shared" si="17"/>
        <v>1</v>
      </c>
      <c r="I49" s="105">
        <f t="shared" si="17"/>
        <v>1</v>
      </c>
      <c r="J49" s="105">
        <f t="shared" si="17"/>
        <v>1</v>
      </c>
      <c r="K49" s="105">
        <f t="shared" si="17"/>
        <v>1</v>
      </c>
      <c r="L49" s="105">
        <f t="shared" si="17"/>
        <v>1</v>
      </c>
      <c r="M49" s="105">
        <f t="shared" si="17"/>
        <v>1</v>
      </c>
      <c r="N49" s="105">
        <f t="shared" si="17"/>
        <v>1</v>
      </c>
      <c r="O49" s="105">
        <f t="shared" si="17"/>
        <v>1</v>
      </c>
      <c r="P49" s="105">
        <f t="shared" si="17"/>
        <v>1</v>
      </c>
      <c r="Q49" s="105">
        <f t="shared" si="17"/>
        <v>1</v>
      </c>
      <c r="R49" s="105">
        <f t="shared" si="17"/>
        <v>1</v>
      </c>
      <c r="S49" s="105">
        <f t="shared" si="17"/>
        <v>1</v>
      </c>
      <c r="T49" s="105">
        <f t="shared" si="17"/>
        <v>1</v>
      </c>
      <c r="U49" s="105">
        <f t="shared" si="17"/>
        <v>1</v>
      </c>
      <c r="V49" s="14" t="s">
        <v>191</v>
      </c>
    </row>
    <row r="50" spans="1:29">
      <c r="A50" s="106" t="s">
        <v>26</v>
      </c>
      <c r="B50" s="107" t="s">
        <v>193</v>
      </c>
      <c r="C50" s="107"/>
      <c r="D50" s="107" t="e">
        <f>C51</f>
        <v>#DIV/0!</v>
      </c>
      <c r="E50" s="107">
        <f>IF(E49=1,0,SUM($C$51:D51))</f>
        <v>0</v>
      </c>
      <c r="F50" s="107">
        <f>IF(F49=1,0,SUM($C$51:E51))</f>
        <v>0</v>
      </c>
      <c r="G50" s="107">
        <f>IF(G49=1,0,SUM($C$51:F51))</f>
        <v>0</v>
      </c>
      <c r="H50" s="107">
        <f>IF(H49=1,0,SUM($C$51:G51))</f>
        <v>0</v>
      </c>
      <c r="I50" s="107">
        <f>IF(I49=1,0,SUM(C51:H51))</f>
        <v>0</v>
      </c>
      <c r="J50" s="107">
        <f>IF(J49=1,0,SUM(C51:I51))</f>
        <v>0</v>
      </c>
      <c r="K50" s="107">
        <f>IF(K49=1,0,SUM(C51:J51))</f>
        <v>0</v>
      </c>
      <c r="L50" s="107">
        <f>IF(L49=1,0,SUM(C51:K51))</f>
        <v>0</v>
      </c>
      <c r="M50" s="107">
        <f>IF(M49=1,0,SUM(C51:L51))</f>
        <v>0</v>
      </c>
      <c r="N50" s="107">
        <f>IF(N49=1,0,SUM(C51:M51))</f>
        <v>0</v>
      </c>
      <c r="O50" s="107">
        <f>IF(O49=1,0,SUM(C51:N51))</f>
        <v>0</v>
      </c>
      <c r="P50" s="107">
        <f>IF(P49=1,0,SUM(C51:O51))</f>
        <v>0</v>
      </c>
      <c r="Q50" s="107">
        <f>IF(Q49=1,0,SUM(C51:P51))</f>
        <v>0</v>
      </c>
      <c r="R50" s="107">
        <f>IF(R49=1,0,SUM(C51:Q51))</f>
        <v>0</v>
      </c>
      <c r="S50" s="107">
        <f>IF(S49=1,0,SUM(C51:R51))</f>
        <v>0</v>
      </c>
      <c r="T50" s="107">
        <f>IF(T49=1,0,SUM(C51:S51))</f>
        <v>0</v>
      </c>
      <c r="U50" s="107">
        <f>T50+T51</f>
        <v>0</v>
      </c>
      <c r="V50" s="14" t="s">
        <v>193</v>
      </c>
    </row>
    <row r="51" spans="1:29">
      <c r="A51" s="106">
        <f>INT(D9*F10)</f>
        <v>0</v>
      </c>
      <c r="B51" s="107" t="s">
        <v>194</v>
      </c>
      <c r="C51" s="108" t="e">
        <f>(D9)-(SUM(D51:U51)+SUM(D54:U54)+A51)</f>
        <v>#DIV/0!</v>
      </c>
      <c r="D51" s="108" t="e">
        <f>INT((D9-A51)/(D11*2))</f>
        <v>#DIV/0!</v>
      </c>
      <c r="E51" s="108">
        <f t="shared" ref="E51:T51" si="18">IF(E49=1,0,D51)</f>
        <v>0</v>
      </c>
      <c r="F51" s="108">
        <f t="shared" si="18"/>
        <v>0</v>
      </c>
      <c r="G51" s="108">
        <f t="shared" si="18"/>
        <v>0</v>
      </c>
      <c r="H51" s="108">
        <f t="shared" si="18"/>
        <v>0</v>
      </c>
      <c r="I51" s="108">
        <f t="shared" si="18"/>
        <v>0</v>
      </c>
      <c r="J51" s="108">
        <f t="shared" si="18"/>
        <v>0</v>
      </c>
      <c r="K51" s="108">
        <f t="shared" si="18"/>
        <v>0</v>
      </c>
      <c r="L51" s="108">
        <f t="shared" si="18"/>
        <v>0</v>
      </c>
      <c r="M51" s="108">
        <f t="shared" si="18"/>
        <v>0</v>
      </c>
      <c r="N51" s="108">
        <f t="shared" si="18"/>
        <v>0</v>
      </c>
      <c r="O51" s="108">
        <f t="shared" si="18"/>
        <v>0</v>
      </c>
      <c r="P51" s="108">
        <f t="shared" si="18"/>
        <v>0</v>
      </c>
      <c r="Q51" s="108">
        <f t="shared" si="18"/>
        <v>0</v>
      </c>
      <c r="R51" s="108">
        <f t="shared" si="18"/>
        <v>0</v>
      </c>
      <c r="S51" s="108">
        <f t="shared" si="18"/>
        <v>0</v>
      </c>
      <c r="T51" s="108">
        <f t="shared" si="18"/>
        <v>0</v>
      </c>
      <c r="U51" s="108"/>
      <c r="V51" s="14" t="s">
        <v>195</v>
      </c>
    </row>
    <row r="52" spans="1:29">
      <c r="B52" s="107" t="s">
        <v>196</v>
      </c>
      <c r="C52" s="108" t="e">
        <f>INT((D9-A51)*E106)-SUM(D52:T52)-SUM(D55:U55)</f>
        <v>#DIV/0!</v>
      </c>
      <c r="D52" s="108" t="e">
        <f t="shared" ref="D52" si="19">INT(D51*$E$106)</f>
        <v>#DIV/0!</v>
      </c>
      <c r="E52" s="108">
        <f>INT(E51*$E$106)</f>
        <v>0</v>
      </c>
      <c r="F52" s="108">
        <f t="shared" ref="F52:U52" si="20">INT(F51*$E$106)</f>
        <v>0</v>
      </c>
      <c r="G52" s="108">
        <f t="shared" si="20"/>
        <v>0</v>
      </c>
      <c r="H52" s="108">
        <f t="shared" si="20"/>
        <v>0</v>
      </c>
      <c r="I52" s="108">
        <f t="shared" si="20"/>
        <v>0</v>
      </c>
      <c r="J52" s="108">
        <f t="shared" si="20"/>
        <v>0</v>
      </c>
      <c r="K52" s="108">
        <f t="shared" si="20"/>
        <v>0</v>
      </c>
      <c r="L52" s="108">
        <f t="shared" si="20"/>
        <v>0</v>
      </c>
      <c r="M52" s="108">
        <f t="shared" si="20"/>
        <v>0</v>
      </c>
      <c r="N52" s="108">
        <f t="shared" si="20"/>
        <v>0</v>
      </c>
      <c r="O52" s="108">
        <f t="shared" si="20"/>
        <v>0</v>
      </c>
      <c r="P52" s="108">
        <f t="shared" si="20"/>
        <v>0</v>
      </c>
      <c r="Q52" s="108">
        <f t="shared" si="20"/>
        <v>0</v>
      </c>
      <c r="R52" s="108">
        <f t="shared" si="20"/>
        <v>0</v>
      </c>
      <c r="S52" s="108">
        <f t="shared" si="20"/>
        <v>0</v>
      </c>
      <c r="T52" s="108">
        <f t="shared" si="20"/>
        <v>0</v>
      </c>
      <c r="U52" s="108">
        <f t="shared" si="20"/>
        <v>0</v>
      </c>
      <c r="V52" s="14" t="s">
        <v>197</v>
      </c>
    </row>
    <row r="53" spans="1:29">
      <c r="B53" s="107" t="s">
        <v>198</v>
      </c>
      <c r="C53" s="108">
        <f>INT(D9*(C44)/2*D65)</f>
        <v>0</v>
      </c>
      <c r="D53" s="108">
        <f t="shared" ref="D53:U53" si="21">INT(IF(D49=1,0,($D$9-D50)*($C$44)/2))</f>
        <v>0</v>
      </c>
      <c r="E53" s="108">
        <f t="shared" si="21"/>
        <v>0</v>
      </c>
      <c r="F53" s="108">
        <f t="shared" si="21"/>
        <v>0</v>
      </c>
      <c r="G53" s="108">
        <f t="shared" si="21"/>
        <v>0</v>
      </c>
      <c r="H53" s="108">
        <f t="shared" si="21"/>
        <v>0</v>
      </c>
      <c r="I53" s="108">
        <f t="shared" si="21"/>
        <v>0</v>
      </c>
      <c r="J53" s="108">
        <f t="shared" si="21"/>
        <v>0</v>
      </c>
      <c r="K53" s="108">
        <f t="shared" si="21"/>
        <v>0</v>
      </c>
      <c r="L53" s="108">
        <f t="shared" si="21"/>
        <v>0</v>
      </c>
      <c r="M53" s="108">
        <f t="shared" si="21"/>
        <v>0</v>
      </c>
      <c r="N53" s="108">
        <f t="shared" si="21"/>
        <v>0</v>
      </c>
      <c r="O53" s="108">
        <f t="shared" si="21"/>
        <v>0</v>
      </c>
      <c r="P53" s="108">
        <f t="shared" si="21"/>
        <v>0</v>
      </c>
      <c r="Q53" s="108">
        <f t="shared" si="21"/>
        <v>0</v>
      </c>
      <c r="R53" s="108">
        <f t="shared" si="21"/>
        <v>0</v>
      </c>
      <c r="S53" s="108">
        <f t="shared" si="21"/>
        <v>0</v>
      </c>
      <c r="T53" s="108">
        <f t="shared" si="21"/>
        <v>0</v>
      </c>
      <c r="U53" s="108">
        <f t="shared" si="21"/>
        <v>0</v>
      </c>
      <c r="V53" s="14" t="s">
        <v>198</v>
      </c>
    </row>
    <row r="54" spans="1:29">
      <c r="A54" s="109"/>
      <c r="B54" s="107" t="s">
        <v>199</v>
      </c>
      <c r="C54" s="110"/>
      <c r="D54" s="110"/>
      <c r="E54" s="111" t="e">
        <f t="shared" ref="E54:U54" si="22">INT(E60*$E$65*D51)</f>
        <v>#DIV/0!</v>
      </c>
      <c r="F54" s="111">
        <f t="shared" si="22"/>
        <v>0</v>
      </c>
      <c r="G54" s="111">
        <f t="shared" si="22"/>
        <v>0</v>
      </c>
      <c r="H54" s="111">
        <f t="shared" si="22"/>
        <v>0</v>
      </c>
      <c r="I54" s="111">
        <f t="shared" si="22"/>
        <v>0</v>
      </c>
      <c r="J54" s="111">
        <f t="shared" si="22"/>
        <v>0</v>
      </c>
      <c r="K54" s="111">
        <f t="shared" si="22"/>
        <v>0</v>
      </c>
      <c r="L54" s="111">
        <f t="shared" si="22"/>
        <v>0</v>
      </c>
      <c r="M54" s="111">
        <f t="shared" si="22"/>
        <v>0</v>
      </c>
      <c r="N54" s="111">
        <f t="shared" si="22"/>
        <v>0</v>
      </c>
      <c r="O54" s="111">
        <f t="shared" si="22"/>
        <v>0</v>
      </c>
      <c r="P54" s="111">
        <f t="shared" si="22"/>
        <v>0</v>
      </c>
      <c r="Q54" s="111">
        <f t="shared" si="22"/>
        <v>0</v>
      </c>
      <c r="R54" s="111">
        <f t="shared" si="22"/>
        <v>0</v>
      </c>
      <c r="S54" s="111">
        <f t="shared" si="22"/>
        <v>0</v>
      </c>
      <c r="T54" s="111">
        <f t="shared" si="22"/>
        <v>0</v>
      </c>
      <c r="U54" s="111">
        <f t="shared" si="22"/>
        <v>0</v>
      </c>
      <c r="V54" s="14" t="s">
        <v>199</v>
      </c>
    </row>
    <row r="55" spans="1:29">
      <c r="A55" s="112"/>
      <c r="B55" s="107" t="s">
        <v>197</v>
      </c>
      <c r="C55" s="107">
        <f t="shared" ref="C55:U55" si="23">INT(C54*$E$106)</f>
        <v>0</v>
      </c>
      <c r="D55" s="107">
        <f t="shared" si="23"/>
        <v>0</v>
      </c>
      <c r="E55" s="107" t="e">
        <f t="shared" si="23"/>
        <v>#DIV/0!</v>
      </c>
      <c r="F55" s="107">
        <f t="shared" si="23"/>
        <v>0</v>
      </c>
      <c r="G55" s="107">
        <f t="shared" si="23"/>
        <v>0</v>
      </c>
      <c r="H55" s="107">
        <f t="shared" si="23"/>
        <v>0</v>
      </c>
      <c r="I55" s="108">
        <f t="shared" si="23"/>
        <v>0</v>
      </c>
      <c r="J55" s="108">
        <f t="shared" si="23"/>
        <v>0</v>
      </c>
      <c r="K55" s="108">
        <f t="shared" si="23"/>
        <v>0</v>
      </c>
      <c r="L55" s="108">
        <f t="shared" si="23"/>
        <v>0</v>
      </c>
      <c r="M55" s="108">
        <f t="shared" si="23"/>
        <v>0</v>
      </c>
      <c r="N55" s="108">
        <f t="shared" si="23"/>
        <v>0</v>
      </c>
      <c r="O55" s="108">
        <f t="shared" si="23"/>
        <v>0</v>
      </c>
      <c r="P55" s="108">
        <f t="shared" si="23"/>
        <v>0</v>
      </c>
      <c r="Q55" s="108">
        <f t="shared" si="23"/>
        <v>0</v>
      </c>
      <c r="R55" s="108">
        <f t="shared" si="23"/>
        <v>0</v>
      </c>
      <c r="S55" s="108">
        <f t="shared" si="23"/>
        <v>0</v>
      </c>
      <c r="T55" s="108">
        <f t="shared" si="23"/>
        <v>0</v>
      </c>
      <c r="U55" s="108">
        <f t="shared" si="23"/>
        <v>0</v>
      </c>
      <c r="V55" s="14" t="s">
        <v>197</v>
      </c>
    </row>
    <row r="56" spans="1:29">
      <c r="A56" s="233"/>
      <c r="B56" s="107" t="s">
        <v>198</v>
      </c>
      <c r="C56" s="108"/>
      <c r="D56" s="107"/>
      <c r="E56" s="108" t="e">
        <f>INT((($D$9-SUM($C$51:D51))*($C$44)/2)*$E$65*E60)</f>
        <v>#DIV/0!</v>
      </c>
      <c r="F56" s="108" t="e">
        <f>INT((($D$9-SUM($C$51:E51))*($C$44)/2)*$E$65*F60)</f>
        <v>#DIV/0!</v>
      </c>
      <c r="G56" s="108" t="e">
        <f>INT((($D$9-SUM($C$51:F51))*($C$44)/2)*$E$65*G60)</f>
        <v>#DIV/0!</v>
      </c>
      <c r="H56" s="108" t="e">
        <f>INT((($D$9-SUM($C$51:G51))*($C$44)/2)*$E$65*H60)</f>
        <v>#DIV/0!</v>
      </c>
      <c r="I56" s="108" t="e">
        <f>INT((($D$9-SUM($C$51:H51))*($C$44)/2)*$E$65*I60)</f>
        <v>#DIV/0!</v>
      </c>
      <c r="J56" s="108" t="e">
        <f>INT((($D$9-SUM($C$51:I51))*($C$44)/2)*$E$65*J60)</f>
        <v>#DIV/0!</v>
      </c>
      <c r="K56" s="108" t="e">
        <f>INT((($D$9-SUM($C$51:J51))*($C$44)/2)*$E$65*K60)</f>
        <v>#DIV/0!</v>
      </c>
      <c r="L56" s="108" t="e">
        <f>INT((($D$9-SUM($C$51:K51))*($C$44)/2)*$E$65*L60)</f>
        <v>#DIV/0!</v>
      </c>
      <c r="M56" s="108" t="e">
        <f>INT((($D$9-SUM($C$51:L51))*($C$44)/2)*$E$65*M60)</f>
        <v>#DIV/0!</v>
      </c>
      <c r="N56" s="108" t="e">
        <f>INT((($D$9-SUM($C$51:M51))*($C$44)/2)*$E$65*N60)</f>
        <v>#DIV/0!</v>
      </c>
      <c r="O56" s="108" t="e">
        <f>INT((($D$9-SUM($C$51:N51))*($C$44)/2)*$E$65*O60)</f>
        <v>#DIV/0!</v>
      </c>
      <c r="P56" s="108" t="e">
        <f>INT((($D$9-SUM($C$51:O51))*($C$44)/2)*$E$65*P60)</f>
        <v>#DIV/0!</v>
      </c>
      <c r="Q56" s="108" t="e">
        <f>INT((($D$9-SUM($C$51:P51))*($C$44)/2)*$E$65*Q60)</f>
        <v>#DIV/0!</v>
      </c>
      <c r="R56" s="108" t="e">
        <f>INT((($D$9-SUM($C$51:Q51))*($C$44)/2)*$E$65*R60)</f>
        <v>#DIV/0!</v>
      </c>
      <c r="S56" s="113" t="e">
        <f>INT((($D$9-SUM($C$51:R51))*($C$44)/2)*$E$65*S60)</f>
        <v>#DIV/0!</v>
      </c>
      <c r="T56" s="108" t="e">
        <f>INT((($D$9-SUM($C$51:S51))*($C$44)/2)*$E$65*T60)</f>
        <v>#DIV/0!</v>
      </c>
      <c r="U56" s="108" t="e">
        <f>INT((($D$9-SUM($C$51:T51))*($C$44)/2)*$E$65*U60)</f>
        <v>#DIV/0!</v>
      </c>
      <c r="V56" s="14" t="s">
        <v>198</v>
      </c>
    </row>
    <row r="59" spans="1:29">
      <c r="B59" s="16" t="s">
        <v>200</v>
      </c>
      <c r="C59" s="15">
        <f>IF(C47=$I$64,IF($H$64=1,1,0),0)</f>
        <v>1</v>
      </c>
      <c r="D59" s="15">
        <f>IF(D47=$I$64,IF($H$64=1,1,0),0)</f>
        <v>0</v>
      </c>
      <c r="E59" s="15">
        <f>IF(E47=$I$64,IF($H$64=1,1,0),0)</f>
        <v>0</v>
      </c>
      <c r="F59" s="15">
        <f t="shared" ref="F59:U59" si="24">IF(F47=$I$64,IF($H$64=1,1,0),0)</f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4"/>
        <v>0</v>
      </c>
      <c r="L59" s="15">
        <f t="shared" si="24"/>
        <v>0</v>
      </c>
      <c r="M59" s="15">
        <f t="shared" si="24"/>
        <v>0</v>
      </c>
      <c r="N59" s="15">
        <f t="shared" si="24"/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5">
        <f t="shared" si="24"/>
        <v>0</v>
      </c>
      <c r="T59" s="15">
        <f t="shared" si="24"/>
        <v>0</v>
      </c>
      <c r="U59" s="15">
        <f t="shared" si="24"/>
        <v>0</v>
      </c>
      <c r="V59" s="78"/>
    </row>
    <row r="60" spans="1:29">
      <c r="B60" s="114" t="s">
        <v>201</v>
      </c>
      <c r="C60" s="115">
        <f t="shared" ref="C60:M60" si="25">IF(C47=$I$65,IF($H$65=1,1,0),0)</f>
        <v>1</v>
      </c>
      <c r="D60" s="115">
        <f t="shared" si="25"/>
        <v>0</v>
      </c>
      <c r="E60" s="115">
        <f t="shared" si="25"/>
        <v>0</v>
      </c>
      <c r="F60" s="115">
        <f t="shared" si="25"/>
        <v>0</v>
      </c>
      <c r="G60" s="115">
        <f t="shared" si="25"/>
        <v>0</v>
      </c>
      <c r="H60" s="115">
        <f t="shared" si="25"/>
        <v>0</v>
      </c>
      <c r="I60" s="115">
        <f t="shared" si="25"/>
        <v>0</v>
      </c>
      <c r="J60" s="115">
        <f t="shared" si="25"/>
        <v>0</v>
      </c>
      <c r="K60" s="115">
        <f t="shared" si="25"/>
        <v>0</v>
      </c>
      <c r="L60" s="115">
        <f t="shared" si="25"/>
        <v>0</v>
      </c>
      <c r="M60" s="115">
        <f t="shared" si="25"/>
        <v>0</v>
      </c>
      <c r="N60" s="115">
        <f>IF(N47=$I$65,IF($H$65=1,1,0),0)</f>
        <v>0</v>
      </c>
      <c r="O60" s="115">
        <f t="shared" ref="O60:U60" si="26">IF(O47=$I$65,IF($H$65=1,1,0),0)</f>
        <v>0</v>
      </c>
      <c r="P60" s="115">
        <f t="shared" si="26"/>
        <v>0</v>
      </c>
      <c r="Q60" s="115">
        <f t="shared" si="26"/>
        <v>0</v>
      </c>
      <c r="R60" s="115">
        <f t="shared" si="26"/>
        <v>0</v>
      </c>
      <c r="S60" s="115">
        <f t="shared" si="26"/>
        <v>0</v>
      </c>
      <c r="T60" s="115">
        <f t="shared" si="26"/>
        <v>0</v>
      </c>
      <c r="U60" s="115">
        <f t="shared" si="26"/>
        <v>0</v>
      </c>
      <c r="V60" s="78"/>
    </row>
    <row r="61" spans="1:29">
      <c r="A61" s="78"/>
      <c r="B61" s="116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78"/>
      <c r="Q61" s="78"/>
      <c r="R61" s="180"/>
    </row>
    <row r="62" spans="1:29">
      <c r="A62" s="78"/>
      <c r="B62" s="117" t="s">
        <v>175</v>
      </c>
      <c r="C62" s="114"/>
      <c r="D62" s="114">
        <f t="shared" ref="D62:P62" si="27">IF($H$65=1,$D$9*$F$10*D60,IF(D49=1,0,IF(E49=1,$D$9*$F$10,0)))</f>
        <v>0</v>
      </c>
      <c r="E62" s="114">
        <f t="shared" si="27"/>
        <v>0</v>
      </c>
      <c r="F62" s="114">
        <f t="shared" si="27"/>
        <v>0</v>
      </c>
      <c r="G62" s="114">
        <f t="shared" si="27"/>
        <v>0</v>
      </c>
      <c r="H62" s="114">
        <f t="shared" si="27"/>
        <v>0</v>
      </c>
      <c r="I62" s="114">
        <f t="shared" si="27"/>
        <v>0</v>
      </c>
      <c r="J62" s="114">
        <f t="shared" si="27"/>
        <v>0</v>
      </c>
      <c r="K62" s="114">
        <f t="shared" si="27"/>
        <v>0</v>
      </c>
      <c r="L62" s="114">
        <f t="shared" si="27"/>
        <v>0</v>
      </c>
      <c r="M62" s="114">
        <f t="shared" si="27"/>
        <v>0</v>
      </c>
      <c r="N62" s="114">
        <f t="shared" si="27"/>
        <v>0</v>
      </c>
      <c r="O62" s="114">
        <f t="shared" si="27"/>
        <v>0</v>
      </c>
      <c r="P62" s="114">
        <f t="shared" si="27"/>
        <v>0</v>
      </c>
      <c r="Q62" s="114">
        <f>IF($H$65=1,$D$9*$F$10*Q60,IF(Q49=1,0,IF(R49=1,$D$9*$F$10,0)))</f>
        <v>0</v>
      </c>
      <c r="R62" s="114">
        <f t="shared" ref="R62:U62" si="28">IF($H$65=1,$D$9*$F$10*R60,IF(R49=1,0,IF(S49=1,$D$9*$F$10,0)))</f>
        <v>0</v>
      </c>
      <c r="S62" s="114">
        <f t="shared" si="28"/>
        <v>0</v>
      </c>
      <c r="T62" s="114">
        <f t="shared" si="28"/>
        <v>0</v>
      </c>
      <c r="U62" s="114">
        <f t="shared" si="28"/>
        <v>0</v>
      </c>
    </row>
    <row r="63" spans="1:29">
      <c r="A63" s="78"/>
      <c r="B63" s="11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78"/>
      <c r="Q63" s="78"/>
    </row>
    <row r="64" spans="1:29">
      <c r="A64" s="78"/>
      <c r="B64" s="116"/>
      <c r="C64" s="222"/>
      <c r="D64" s="222"/>
      <c r="E64" s="304" t="s">
        <v>100</v>
      </c>
      <c r="F64" s="304"/>
      <c r="G64" s="304"/>
      <c r="H64" s="222">
        <f>VLOOKUP(A45,B86:E97,4)</f>
        <v>1</v>
      </c>
      <c r="I64" s="222">
        <f>IF(D11&gt;$G$114,$G$114,D11)*2+H64</f>
        <v>1</v>
      </c>
      <c r="J64" s="222"/>
      <c r="K64" s="222"/>
      <c r="L64" s="222"/>
      <c r="M64" s="222"/>
      <c r="N64" s="222"/>
      <c r="O64" s="222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2">
      <c r="A65" s="78"/>
      <c r="B65" s="116"/>
      <c r="C65" s="222"/>
      <c r="D65" s="118">
        <f>VLOOKUP(A45,B74:D85,2)</f>
        <v>0.5</v>
      </c>
      <c r="E65" s="118">
        <f>VLOOKUP(A45,B74:D85,3)</f>
        <v>0.5</v>
      </c>
      <c r="F65" s="78"/>
      <c r="G65" s="78"/>
      <c r="H65" s="119">
        <f>VLOOKUP(A45,B86:E97,4)</f>
        <v>1</v>
      </c>
      <c r="I65" s="120">
        <f>D11*2+H65</f>
        <v>1</v>
      </c>
      <c r="J65" s="222"/>
      <c r="K65" s="222"/>
      <c r="L65" s="222"/>
      <c r="M65" s="222"/>
      <c r="N65" s="222"/>
      <c r="O65" s="222"/>
      <c r="P65" s="78"/>
      <c r="Q65" s="78"/>
    </row>
    <row r="66" spans="1:22">
      <c r="A66" s="78"/>
      <c r="B66" s="11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78"/>
      <c r="Q66" s="78"/>
    </row>
    <row r="67" spans="1:22">
      <c r="A67" s="78"/>
      <c r="B67" s="121">
        <v>3</v>
      </c>
      <c r="C67" s="122">
        <v>1.87</v>
      </c>
      <c r="J67" s="120"/>
      <c r="K67" s="120"/>
      <c r="L67" s="120"/>
      <c r="M67" s="120"/>
    </row>
    <row r="68" spans="1:22">
      <c r="A68" s="78"/>
      <c r="B68" s="123">
        <v>4</v>
      </c>
      <c r="C68" s="124">
        <v>2.41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22">
      <c r="A69" s="78"/>
      <c r="B69" s="123">
        <v>5</v>
      </c>
      <c r="C69" s="124">
        <v>2.97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22">
      <c r="A70" s="78"/>
      <c r="B70" s="123">
        <v>6</v>
      </c>
      <c r="C70" s="124">
        <v>3.5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22">
      <c r="B71" s="123">
        <v>7</v>
      </c>
      <c r="C71" s="124">
        <v>4.04</v>
      </c>
    </row>
    <row r="72" spans="1:22" ht="13.8" thickBot="1">
      <c r="B72" s="123">
        <v>8</v>
      </c>
      <c r="C72" s="124">
        <v>4.59</v>
      </c>
    </row>
    <row r="73" spans="1:22" ht="13.8" thickBot="1">
      <c r="B73" s="123">
        <v>9</v>
      </c>
      <c r="C73" s="124">
        <v>5.17</v>
      </c>
      <c r="G73" s="125" t="s">
        <v>1</v>
      </c>
      <c r="H73" s="125" t="s">
        <v>2</v>
      </c>
      <c r="I73" s="125" t="s">
        <v>3</v>
      </c>
      <c r="J73" s="125" t="s">
        <v>4</v>
      </c>
      <c r="K73" s="125" t="s">
        <v>5</v>
      </c>
      <c r="L73" s="125" t="s">
        <v>6</v>
      </c>
      <c r="M73" s="125" t="s">
        <v>7</v>
      </c>
      <c r="N73" s="125" t="s">
        <v>8</v>
      </c>
      <c r="O73" s="125" t="s">
        <v>9</v>
      </c>
      <c r="P73" s="125" t="s">
        <v>10</v>
      </c>
      <c r="Q73" s="125" t="s">
        <v>11</v>
      </c>
      <c r="R73" s="125" t="s">
        <v>12</v>
      </c>
      <c r="S73" s="125" t="s">
        <v>13</v>
      </c>
      <c r="T73" s="125" t="s">
        <v>14</v>
      </c>
      <c r="U73" s="125" t="s">
        <v>15</v>
      </c>
      <c r="V73" s="125" t="s">
        <v>16</v>
      </c>
    </row>
    <row r="74" spans="1:22" ht="13.8" thickBot="1">
      <c r="B74" s="126">
        <v>1</v>
      </c>
      <c r="C74" s="127">
        <f>C80</f>
        <v>0.5</v>
      </c>
      <c r="D74" s="128">
        <f>3/6</f>
        <v>0.5</v>
      </c>
      <c r="F74" s="129" t="s">
        <v>17</v>
      </c>
      <c r="G74" s="130">
        <f t="shared" ref="G74:U74" si="29">C39</f>
        <v>0</v>
      </c>
      <c r="H74" s="130">
        <f t="shared" si="29"/>
        <v>0</v>
      </c>
      <c r="I74" s="130">
        <f t="shared" si="29"/>
        <v>0</v>
      </c>
      <c r="J74" s="130">
        <f t="shared" si="29"/>
        <v>0</v>
      </c>
      <c r="K74" s="130">
        <f t="shared" si="29"/>
        <v>0</v>
      </c>
      <c r="L74" s="130">
        <f t="shared" si="29"/>
        <v>0</v>
      </c>
      <c r="M74" s="130">
        <f t="shared" si="29"/>
        <v>0</v>
      </c>
      <c r="N74" s="130">
        <f t="shared" si="29"/>
        <v>0</v>
      </c>
      <c r="O74" s="130">
        <f t="shared" si="29"/>
        <v>0</v>
      </c>
      <c r="P74" s="130">
        <f t="shared" si="29"/>
        <v>0</v>
      </c>
      <c r="Q74" s="130">
        <f t="shared" si="29"/>
        <v>0</v>
      </c>
      <c r="R74" s="130">
        <f t="shared" si="29"/>
        <v>0</v>
      </c>
      <c r="S74" s="130">
        <f t="shared" si="29"/>
        <v>0</v>
      </c>
      <c r="T74" s="130">
        <f t="shared" si="29"/>
        <v>0</v>
      </c>
      <c r="U74" s="130">
        <f t="shared" si="29"/>
        <v>0</v>
      </c>
      <c r="V74" s="130"/>
    </row>
    <row r="75" spans="1:22" ht="13.8" thickBot="1">
      <c r="B75" s="131">
        <v>2</v>
      </c>
      <c r="C75" s="132">
        <f>C81</f>
        <v>0.33333333333333331</v>
      </c>
      <c r="D75" s="133">
        <f>4/6</f>
        <v>0.66666666666666663</v>
      </c>
      <c r="F75" s="134" t="s">
        <v>43</v>
      </c>
      <c r="G75" s="130">
        <f t="shared" ref="G75:U75" si="30">C41</f>
        <v>0</v>
      </c>
      <c r="H75" s="130">
        <f t="shared" si="30"/>
        <v>0</v>
      </c>
      <c r="I75" s="130">
        <f t="shared" si="30"/>
        <v>0</v>
      </c>
      <c r="J75" s="130">
        <f t="shared" si="30"/>
        <v>0</v>
      </c>
      <c r="K75" s="130">
        <f t="shared" si="30"/>
        <v>0</v>
      </c>
      <c r="L75" s="130">
        <f t="shared" si="30"/>
        <v>0</v>
      </c>
      <c r="M75" s="130">
        <f t="shared" si="30"/>
        <v>0</v>
      </c>
      <c r="N75" s="130">
        <f t="shared" si="30"/>
        <v>0</v>
      </c>
      <c r="O75" s="130">
        <f t="shared" si="30"/>
        <v>0</v>
      </c>
      <c r="P75" s="130">
        <f t="shared" si="30"/>
        <v>0</v>
      </c>
      <c r="Q75" s="130">
        <f t="shared" si="30"/>
        <v>0</v>
      </c>
      <c r="R75" s="130">
        <f t="shared" si="30"/>
        <v>0</v>
      </c>
      <c r="S75" s="130">
        <f t="shared" si="30"/>
        <v>0</v>
      </c>
      <c r="T75" s="130">
        <f t="shared" si="30"/>
        <v>0</v>
      </c>
      <c r="U75" s="130">
        <f t="shared" si="30"/>
        <v>0</v>
      </c>
      <c r="V75" s="130">
        <f>V41</f>
        <v>0</v>
      </c>
    </row>
    <row r="76" spans="1:22">
      <c r="B76" s="131">
        <v>3</v>
      </c>
      <c r="C76" s="132">
        <f>C82</f>
        <v>0.16666666666666666</v>
      </c>
      <c r="D76" s="133">
        <f>5/6</f>
        <v>0.83333333333333337</v>
      </c>
    </row>
    <row r="77" spans="1:22">
      <c r="B77" s="131">
        <v>4</v>
      </c>
      <c r="C77" s="132">
        <v>1</v>
      </c>
      <c r="D77" s="133">
        <f>1</f>
        <v>1</v>
      </c>
    </row>
    <row r="78" spans="1:22">
      <c r="B78" s="131">
        <v>5</v>
      </c>
      <c r="C78" s="132">
        <f>5/6</f>
        <v>0.83333333333333337</v>
      </c>
      <c r="D78" s="133">
        <f>1/6</f>
        <v>0.16666666666666666</v>
      </c>
    </row>
    <row r="79" spans="1:22">
      <c r="B79" s="131">
        <v>6</v>
      </c>
      <c r="C79" s="132">
        <f>4/6</f>
        <v>0.66666666666666663</v>
      </c>
      <c r="D79" s="133">
        <f>2/6</f>
        <v>0.33333333333333331</v>
      </c>
    </row>
    <row r="80" spans="1:22">
      <c r="B80" s="131">
        <v>7</v>
      </c>
      <c r="C80" s="132">
        <f>3/6</f>
        <v>0.5</v>
      </c>
      <c r="D80" s="133">
        <f>3/6</f>
        <v>0.5</v>
      </c>
    </row>
    <row r="81" spans="2:13">
      <c r="B81" s="131">
        <v>8</v>
      </c>
      <c r="C81" s="132">
        <f>2/6</f>
        <v>0.33333333333333331</v>
      </c>
      <c r="D81" s="133">
        <f>4/6</f>
        <v>0.66666666666666663</v>
      </c>
    </row>
    <row r="82" spans="2:13">
      <c r="B82" s="131">
        <v>9</v>
      </c>
      <c r="C82" s="132">
        <f>1/6</f>
        <v>0.16666666666666666</v>
      </c>
      <c r="D82" s="133">
        <f>5/6</f>
        <v>0.83333333333333337</v>
      </c>
    </row>
    <row r="83" spans="2:13">
      <c r="B83" s="131">
        <v>10</v>
      </c>
      <c r="C83" s="132">
        <v>1</v>
      </c>
      <c r="D83" s="133">
        <f>1</f>
        <v>1</v>
      </c>
    </row>
    <row r="84" spans="2:13">
      <c r="B84" s="131">
        <v>11</v>
      </c>
      <c r="C84" s="132">
        <f>C78</f>
        <v>0.83333333333333337</v>
      </c>
      <c r="D84" s="133">
        <f>1/6</f>
        <v>0.16666666666666666</v>
      </c>
    </row>
    <row r="85" spans="2:13">
      <c r="B85" s="135">
        <v>12</v>
      </c>
      <c r="C85" s="136">
        <f>C79</f>
        <v>0.66666666666666663</v>
      </c>
      <c r="D85" s="137">
        <f>2/6</f>
        <v>0.33333333333333331</v>
      </c>
    </row>
    <row r="86" spans="2:13">
      <c r="B86" s="138">
        <v>1</v>
      </c>
      <c r="C86" s="139">
        <v>3</v>
      </c>
      <c r="D86" s="140"/>
      <c r="E86" s="141">
        <v>1</v>
      </c>
    </row>
    <row r="87" spans="2:13">
      <c r="B87" s="142">
        <v>2</v>
      </c>
      <c r="C87" s="143">
        <v>3</v>
      </c>
      <c r="D87" s="144"/>
      <c r="E87" s="145">
        <v>1</v>
      </c>
      <c r="L87" s="14" t="s">
        <v>20</v>
      </c>
    </row>
    <row r="88" spans="2:13">
      <c r="B88" s="142">
        <v>3</v>
      </c>
      <c r="C88" s="143">
        <v>3</v>
      </c>
      <c r="D88" s="144"/>
      <c r="E88" s="145">
        <v>1</v>
      </c>
      <c r="L88" s="146" t="s">
        <v>21</v>
      </c>
      <c r="M88" s="147" t="s">
        <v>22</v>
      </c>
    </row>
    <row r="89" spans="2:13">
      <c r="B89" s="142">
        <v>4</v>
      </c>
      <c r="C89" s="143">
        <v>9</v>
      </c>
      <c r="D89" s="144"/>
      <c r="E89" s="145"/>
      <c r="L89" s="107">
        <v>4</v>
      </c>
      <c r="M89" s="147">
        <v>241</v>
      </c>
    </row>
    <row r="90" spans="2:13">
      <c r="B90" s="142">
        <v>5</v>
      </c>
      <c r="C90" s="143">
        <v>9</v>
      </c>
      <c r="D90" s="144"/>
      <c r="E90" s="145">
        <v>1</v>
      </c>
      <c r="L90" s="107">
        <v>5</v>
      </c>
      <c r="M90" s="147">
        <v>297</v>
      </c>
    </row>
    <row r="91" spans="2:13">
      <c r="B91" s="142">
        <v>6</v>
      </c>
      <c r="C91" s="143">
        <v>9</v>
      </c>
      <c r="D91" s="144"/>
      <c r="E91" s="145">
        <v>1</v>
      </c>
      <c r="L91" s="107">
        <v>6</v>
      </c>
      <c r="M91" s="147">
        <v>350</v>
      </c>
    </row>
    <row r="92" spans="2:13">
      <c r="B92" s="142">
        <v>7</v>
      </c>
      <c r="C92" s="143">
        <v>9</v>
      </c>
      <c r="D92" s="144"/>
      <c r="E92" s="145">
        <v>1</v>
      </c>
      <c r="L92" s="107">
        <v>7</v>
      </c>
      <c r="M92" s="147">
        <v>404</v>
      </c>
    </row>
    <row r="93" spans="2:13">
      <c r="B93" s="142">
        <v>8</v>
      </c>
      <c r="C93" s="143">
        <v>9</v>
      </c>
      <c r="D93" s="144"/>
      <c r="E93" s="145">
        <v>1</v>
      </c>
      <c r="L93" s="107">
        <v>8</v>
      </c>
      <c r="M93" s="147">
        <v>459</v>
      </c>
    </row>
    <row r="94" spans="2:13">
      <c r="B94" s="142">
        <v>9</v>
      </c>
      <c r="C94" s="143">
        <v>9</v>
      </c>
      <c r="D94" s="144"/>
      <c r="E94" s="145">
        <v>1</v>
      </c>
      <c r="L94" s="107">
        <v>9</v>
      </c>
      <c r="M94" s="107">
        <v>517</v>
      </c>
    </row>
    <row r="95" spans="2:13">
      <c r="B95" s="142">
        <v>10</v>
      </c>
      <c r="C95" s="143">
        <v>3</v>
      </c>
      <c r="D95" s="144">
        <v>1</v>
      </c>
      <c r="E95" s="145"/>
      <c r="L95" s="107">
        <v>10</v>
      </c>
      <c r="M95" s="107">
        <v>570</v>
      </c>
    </row>
    <row r="96" spans="2:13">
      <c r="B96" s="142">
        <v>11</v>
      </c>
      <c r="C96" s="143">
        <v>3</v>
      </c>
      <c r="D96" s="144">
        <v>1</v>
      </c>
      <c r="E96" s="145">
        <v>1</v>
      </c>
    </row>
    <row r="97" spans="2:11">
      <c r="B97" s="148">
        <v>12</v>
      </c>
      <c r="C97" s="149">
        <v>3</v>
      </c>
      <c r="D97" s="150">
        <v>1</v>
      </c>
      <c r="E97" s="151">
        <v>1</v>
      </c>
    </row>
    <row r="98" spans="2:11">
      <c r="B98" s="14">
        <f>YEAR(D12)</f>
        <v>1900</v>
      </c>
      <c r="C98" s="152">
        <f>MONTH(D12)</f>
        <v>1</v>
      </c>
      <c r="E98" s="14">
        <f>D11*2+VLOOKUP(MONTH(D12),B86:E97,4)</f>
        <v>1</v>
      </c>
    </row>
    <row r="99" spans="2:11">
      <c r="B99" s="14">
        <f>B98+VLOOKUP(C98,B86:D97,3)</f>
        <v>1900</v>
      </c>
      <c r="C99" s="14">
        <f>VLOOKUP(C98,B86:C97,2)</f>
        <v>3</v>
      </c>
    </row>
    <row r="101" spans="2:11">
      <c r="E101" s="72" t="s">
        <v>45</v>
      </c>
    </row>
    <row r="105" spans="2:11" ht="13.8" thickBot="1">
      <c r="B105" s="153" t="s">
        <v>53</v>
      </c>
      <c r="C105" s="154">
        <v>0.05</v>
      </c>
      <c r="E105" s="155" t="s">
        <v>54</v>
      </c>
      <c r="G105" s="306" t="s">
        <v>166</v>
      </c>
      <c r="H105" s="306"/>
      <c r="I105" s="236">
        <v>0.01</v>
      </c>
      <c r="J105" s="237"/>
      <c r="K105" s="238" t="s">
        <v>167</v>
      </c>
    </row>
    <row r="106" spans="2:11" ht="15" thickBot="1">
      <c r="B106" s="117" t="s">
        <v>153</v>
      </c>
      <c r="C106" s="154">
        <v>0.08</v>
      </c>
      <c r="D106" s="23" t="s">
        <v>55</v>
      </c>
      <c r="E106" s="156">
        <f>IF(D12&lt;DATEVALUE("2014/4/1"),C105,IF(AND(D12&gt;=DATEVALUE("2014/4/1"),D12&lt;DATEVALUE("2019/10/1")),C106,C107))</f>
        <v>0.05</v>
      </c>
      <c r="G106" s="305" t="s">
        <v>168</v>
      </c>
      <c r="H106" s="305"/>
      <c r="I106" s="236">
        <v>7.0000000000000001E-3</v>
      </c>
      <c r="J106" s="239" t="s">
        <v>55</v>
      </c>
      <c r="K106" s="240">
        <f>IF(D12&lt;DATEVALUE("2022/4/1"),I105,I106)</f>
        <v>0.01</v>
      </c>
    </row>
    <row r="107" spans="2:11">
      <c r="B107" s="117" t="s">
        <v>152</v>
      </c>
      <c r="C107" s="154">
        <v>0.1</v>
      </c>
      <c r="E107" s="157"/>
      <c r="G107" s="305"/>
      <c r="H107" s="305"/>
      <c r="I107" s="236"/>
      <c r="J107" s="237"/>
      <c r="K107" s="241"/>
    </row>
    <row r="108" spans="2:11">
      <c r="B108" s="107"/>
      <c r="C108" s="107"/>
      <c r="G108" s="305"/>
      <c r="H108" s="305"/>
      <c r="I108" s="236"/>
      <c r="J108" s="237"/>
      <c r="K108" s="237"/>
    </row>
    <row r="109" spans="2:11">
      <c r="B109" s="107"/>
      <c r="C109" s="107"/>
      <c r="G109" s="305"/>
      <c r="H109" s="305"/>
      <c r="I109" s="236"/>
      <c r="J109" s="237"/>
      <c r="K109" s="237"/>
    </row>
    <row r="112" spans="2:11">
      <c r="B112" s="69" t="s">
        <v>70</v>
      </c>
      <c r="F112" s="69" t="s">
        <v>73</v>
      </c>
    </row>
    <row r="113" spans="1:22" ht="26.4">
      <c r="B113" s="117" t="s">
        <v>101</v>
      </c>
      <c r="C113" s="223" t="s">
        <v>102</v>
      </c>
      <c r="D113" s="158" t="s">
        <v>127</v>
      </c>
      <c r="F113" s="223" t="s">
        <v>72</v>
      </c>
      <c r="G113" s="158" t="s">
        <v>71</v>
      </c>
    </row>
    <row r="114" spans="1:22" ht="14.4">
      <c r="B114" s="159">
        <v>40634</v>
      </c>
      <c r="C114" s="107">
        <v>5000000</v>
      </c>
      <c r="D114" s="107">
        <v>7</v>
      </c>
      <c r="F114" s="160">
        <f>VLOOKUP('信用保険料計算書（上限2000万）'!A15, B114:D117, 2,TRUE)</f>
        <v>20000000</v>
      </c>
      <c r="G114" s="161">
        <f>VLOOKUP('信用保険料計算書（上限2000万）'!A15,B114:D117, 3,TRUE)</f>
        <v>9</v>
      </c>
    </row>
    <row r="115" spans="1:22">
      <c r="B115" s="159">
        <v>41730</v>
      </c>
      <c r="C115" s="107">
        <v>10000000</v>
      </c>
      <c r="D115" s="107">
        <v>7</v>
      </c>
      <c r="E115" s="23" t="s">
        <v>55</v>
      </c>
    </row>
    <row r="116" spans="1:22">
      <c r="B116" s="159">
        <v>42095</v>
      </c>
      <c r="C116" s="107">
        <v>20000000</v>
      </c>
      <c r="D116" s="107">
        <v>9</v>
      </c>
    </row>
    <row r="117" spans="1:22">
      <c r="B117" s="159"/>
      <c r="C117" s="107"/>
      <c r="D117" s="107"/>
    </row>
    <row r="120" spans="1:22">
      <c r="B120" s="69" t="s">
        <v>104</v>
      </c>
    </row>
    <row r="121" spans="1:22">
      <c r="B121" s="107"/>
      <c r="C121" s="163" t="s">
        <v>106</v>
      </c>
      <c r="D121" s="163" t="s">
        <v>66</v>
      </c>
      <c r="E121" s="163" t="s">
        <v>67</v>
      </c>
      <c r="F121" s="163" t="s">
        <v>68</v>
      </c>
      <c r="G121" s="163" t="s">
        <v>107</v>
      </c>
      <c r="H121" s="163" t="s">
        <v>108</v>
      </c>
      <c r="I121" s="163" t="s">
        <v>109</v>
      </c>
      <c r="J121" s="163" t="s">
        <v>110</v>
      </c>
      <c r="K121" s="163" t="s">
        <v>111</v>
      </c>
      <c r="L121" s="163" t="s">
        <v>112</v>
      </c>
      <c r="M121" s="163" t="s">
        <v>113</v>
      </c>
      <c r="N121" s="163" t="s">
        <v>114</v>
      </c>
      <c r="O121" s="163" t="s">
        <v>115</v>
      </c>
      <c r="P121" s="163" t="s">
        <v>116</v>
      </c>
      <c r="Q121" s="163" t="s">
        <v>117</v>
      </c>
      <c r="R121" s="163" t="s">
        <v>118</v>
      </c>
      <c r="S121" s="163" t="s">
        <v>119</v>
      </c>
      <c r="T121" s="163" t="s">
        <v>120</v>
      </c>
      <c r="U121" s="163" t="s">
        <v>121</v>
      </c>
    </row>
    <row r="122" spans="1:22">
      <c r="B122" s="163" t="s">
        <v>105</v>
      </c>
      <c r="C122" s="159">
        <f t="shared" ref="C122:U122" si="31">C28</f>
        <v>61</v>
      </c>
      <c r="D122" s="159">
        <f t="shared" si="31"/>
        <v>245</v>
      </c>
      <c r="E122" s="159">
        <f t="shared" si="31"/>
        <v>426</v>
      </c>
      <c r="F122" s="159">
        <f t="shared" si="31"/>
        <v>610</v>
      </c>
      <c r="G122" s="159">
        <f t="shared" si="31"/>
        <v>791</v>
      </c>
      <c r="H122" s="159">
        <f t="shared" si="31"/>
        <v>975</v>
      </c>
      <c r="I122" s="159">
        <f t="shared" si="31"/>
        <v>1156</v>
      </c>
      <c r="J122" s="159">
        <f t="shared" si="31"/>
        <v>1340</v>
      </c>
      <c r="K122" s="159">
        <f t="shared" si="31"/>
        <v>1522</v>
      </c>
      <c r="L122" s="159">
        <f t="shared" si="31"/>
        <v>1706</v>
      </c>
      <c r="M122" s="159">
        <f t="shared" si="31"/>
        <v>1887</v>
      </c>
      <c r="N122" s="159">
        <f t="shared" si="31"/>
        <v>2071</v>
      </c>
      <c r="O122" s="159">
        <f t="shared" si="31"/>
        <v>2252</v>
      </c>
      <c r="P122" s="159">
        <f t="shared" si="31"/>
        <v>2436</v>
      </c>
      <c r="Q122" s="159">
        <f t="shared" si="31"/>
        <v>2617</v>
      </c>
      <c r="R122" s="159">
        <f t="shared" si="31"/>
        <v>2801</v>
      </c>
      <c r="S122" s="159">
        <f t="shared" si="31"/>
        <v>2983</v>
      </c>
      <c r="T122" s="159">
        <f t="shared" si="31"/>
        <v>3167</v>
      </c>
      <c r="U122" s="159">
        <f t="shared" si="31"/>
        <v>3348</v>
      </c>
    </row>
    <row r="123" spans="1:22">
      <c r="B123" s="163" t="s">
        <v>122</v>
      </c>
      <c r="C123" s="159" t="e">
        <f>EDATE(C122,-6)</f>
        <v>#NUM!</v>
      </c>
      <c r="D123" s="159">
        <f t="shared" ref="D123:U123" si="32">EDATE(D122,-6)</f>
        <v>61</v>
      </c>
      <c r="E123" s="159">
        <f t="shared" si="32"/>
        <v>245</v>
      </c>
      <c r="F123" s="159">
        <f t="shared" si="32"/>
        <v>426</v>
      </c>
      <c r="G123" s="159">
        <f t="shared" si="32"/>
        <v>610</v>
      </c>
      <c r="H123" s="159">
        <f t="shared" si="32"/>
        <v>791</v>
      </c>
      <c r="I123" s="159">
        <f t="shared" si="32"/>
        <v>975</v>
      </c>
      <c r="J123" s="159">
        <f t="shared" si="32"/>
        <v>1156</v>
      </c>
      <c r="K123" s="159">
        <f t="shared" si="32"/>
        <v>1340</v>
      </c>
      <c r="L123" s="159">
        <f t="shared" si="32"/>
        <v>1522</v>
      </c>
      <c r="M123" s="159">
        <f t="shared" si="32"/>
        <v>1706</v>
      </c>
      <c r="N123" s="159">
        <f t="shared" si="32"/>
        <v>1887</v>
      </c>
      <c r="O123" s="159">
        <f t="shared" si="32"/>
        <v>2071</v>
      </c>
      <c r="P123" s="159">
        <f t="shared" si="32"/>
        <v>2252</v>
      </c>
      <c r="Q123" s="159">
        <f t="shared" si="32"/>
        <v>2436</v>
      </c>
      <c r="R123" s="159">
        <f t="shared" si="32"/>
        <v>2617</v>
      </c>
      <c r="S123" s="159">
        <f t="shared" si="32"/>
        <v>2801</v>
      </c>
      <c r="T123" s="159">
        <f t="shared" si="32"/>
        <v>2983</v>
      </c>
      <c r="U123" s="159">
        <f t="shared" si="32"/>
        <v>3167</v>
      </c>
    </row>
    <row r="124" spans="1:22" s="77" customFormat="1">
      <c r="A124" s="222"/>
      <c r="B124" s="177" t="s">
        <v>56</v>
      </c>
      <c r="C124" s="114">
        <f t="shared" ref="C124:U124" si="33">C39</f>
        <v>0</v>
      </c>
      <c r="D124" s="114">
        <f t="shared" si="33"/>
        <v>0</v>
      </c>
      <c r="E124" s="114">
        <f t="shared" si="33"/>
        <v>0</v>
      </c>
      <c r="F124" s="114">
        <f t="shared" si="33"/>
        <v>0</v>
      </c>
      <c r="G124" s="114">
        <f t="shared" si="33"/>
        <v>0</v>
      </c>
      <c r="H124" s="114">
        <f t="shared" si="33"/>
        <v>0</v>
      </c>
      <c r="I124" s="114">
        <f t="shared" si="33"/>
        <v>0</v>
      </c>
      <c r="J124" s="114">
        <f t="shared" si="33"/>
        <v>0</v>
      </c>
      <c r="K124" s="114">
        <f t="shared" si="33"/>
        <v>0</v>
      </c>
      <c r="L124" s="114">
        <f t="shared" si="33"/>
        <v>0</v>
      </c>
      <c r="M124" s="114">
        <f t="shared" si="33"/>
        <v>0</v>
      </c>
      <c r="N124" s="114">
        <f t="shared" si="33"/>
        <v>0</v>
      </c>
      <c r="O124" s="114">
        <f t="shared" si="33"/>
        <v>0</v>
      </c>
      <c r="P124" s="114">
        <f t="shared" si="33"/>
        <v>0</v>
      </c>
      <c r="Q124" s="114">
        <f t="shared" si="33"/>
        <v>0</v>
      </c>
      <c r="R124" s="114">
        <f t="shared" si="33"/>
        <v>0</v>
      </c>
      <c r="S124" s="114">
        <f t="shared" si="33"/>
        <v>0</v>
      </c>
      <c r="T124" s="114">
        <f t="shared" si="33"/>
        <v>0</v>
      </c>
      <c r="U124" s="114">
        <f t="shared" si="33"/>
        <v>0</v>
      </c>
      <c r="V124" s="14"/>
    </row>
    <row r="125" spans="1:22">
      <c r="D125" s="72"/>
    </row>
  </sheetData>
  <sheetProtection formatCells="0"/>
  <mergeCells count="47">
    <mergeCell ref="G105:H105"/>
    <mergeCell ref="G106:H106"/>
    <mergeCell ref="G107:H107"/>
    <mergeCell ref="G108:H108"/>
    <mergeCell ref="G109:H109"/>
    <mergeCell ref="B27:B29"/>
    <mergeCell ref="V27:V29"/>
    <mergeCell ref="V39:V40"/>
    <mergeCell ref="R44:U44"/>
    <mergeCell ref="E64:G64"/>
    <mergeCell ref="G21:G22"/>
    <mergeCell ref="I21:M21"/>
    <mergeCell ref="I22:M22"/>
    <mergeCell ref="G23:H24"/>
    <mergeCell ref="I23:M23"/>
    <mergeCell ref="I24:M24"/>
    <mergeCell ref="G18:H18"/>
    <mergeCell ref="I18:M18"/>
    <mergeCell ref="G19:H19"/>
    <mergeCell ref="I19:M19"/>
    <mergeCell ref="G20:H20"/>
    <mergeCell ref="I20:M20"/>
    <mergeCell ref="A13:C13"/>
    <mergeCell ref="D13:E13"/>
    <mergeCell ref="F15:O15"/>
    <mergeCell ref="F16:M16"/>
    <mergeCell ref="N16:O17"/>
    <mergeCell ref="G17:H17"/>
    <mergeCell ref="I17:M17"/>
    <mergeCell ref="I12:M12"/>
    <mergeCell ref="B8:C8"/>
    <mergeCell ref="D8:E8"/>
    <mergeCell ref="B9:C9"/>
    <mergeCell ref="D9:E9"/>
    <mergeCell ref="A10:C10"/>
    <mergeCell ref="D10:E10"/>
    <mergeCell ref="B11:C11"/>
    <mergeCell ref="D11:E11"/>
    <mergeCell ref="B12:C12"/>
    <mergeCell ref="D12:E12"/>
    <mergeCell ref="G12:H12"/>
    <mergeCell ref="A1:R1"/>
    <mergeCell ref="K2:Q2"/>
    <mergeCell ref="A4:N4"/>
    <mergeCell ref="A5:N5"/>
    <mergeCell ref="B7:C7"/>
    <mergeCell ref="D7:E7"/>
  </mergeCells>
  <phoneticPr fontId="17"/>
  <conditionalFormatting sqref="H26:U26">
    <cfRule type="expression" dxfId="17" priority="14" stopIfTrue="1">
      <formula>$N$49=$E$99</formula>
    </cfRule>
    <cfRule type="cellIs" dxfId="16" priority="15" stopIfTrue="1" operator="equal">
      <formula>$E$99=$N$49</formula>
    </cfRule>
    <cfRule type="cellIs" dxfId="15" priority="16" stopIfTrue="1" operator="equal">
      <formula>$N$49=$E$99</formula>
    </cfRule>
  </conditionalFormatting>
  <conditionalFormatting sqref="P26">
    <cfRule type="expression" dxfId="14" priority="13" stopIfTrue="1">
      <formula>$P$49=$E$99</formula>
    </cfRule>
  </conditionalFormatting>
  <conditionalFormatting sqref="Q26">
    <cfRule type="expression" dxfId="13" priority="12" stopIfTrue="1">
      <formula>$Q$49=$E$99</formula>
    </cfRule>
  </conditionalFormatting>
  <conditionalFormatting sqref="R26">
    <cfRule type="expression" dxfId="12" priority="10" stopIfTrue="1">
      <formula>$R$49=$E$99</formula>
    </cfRule>
    <cfRule type="cellIs" dxfId="11" priority="11" stopIfTrue="1" operator="equal">
      <formula>$R$49=$E$99</formula>
    </cfRule>
  </conditionalFormatting>
  <conditionalFormatting sqref="S26">
    <cfRule type="expression" dxfId="10" priority="9" stopIfTrue="1">
      <formula>$S$49=$E$99</formula>
    </cfRule>
  </conditionalFormatting>
  <conditionalFormatting sqref="T26">
    <cfRule type="expression" dxfId="9" priority="8" stopIfTrue="1">
      <formula>$T$49=$E$99</formula>
    </cfRule>
  </conditionalFormatting>
  <conditionalFormatting sqref="U26">
    <cfRule type="expression" dxfId="8" priority="7" stopIfTrue="1">
      <formula>$U$49=$E$99</formula>
    </cfRule>
  </conditionalFormatting>
  <conditionalFormatting sqref="M26">
    <cfRule type="expression" dxfId="7" priority="6" stopIfTrue="1">
      <formula>$M$49=$E$99</formula>
    </cfRule>
  </conditionalFormatting>
  <conditionalFormatting sqref="L26">
    <cfRule type="expression" dxfId="6" priority="5" stopIfTrue="1">
      <formula>$L$49=$E$99</formula>
    </cfRule>
  </conditionalFormatting>
  <conditionalFormatting sqref="H26:U26">
    <cfRule type="expression" dxfId="5" priority="4" stopIfTrue="1">
      <formula>$H$49=$E$99</formula>
    </cfRule>
  </conditionalFormatting>
  <conditionalFormatting sqref="I26">
    <cfRule type="expression" dxfId="4" priority="3" stopIfTrue="1">
      <formula>$I$49=$E$99</formula>
    </cfRule>
  </conditionalFormatting>
  <conditionalFormatting sqref="J26">
    <cfRule type="expression" dxfId="3" priority="2" stopIfTrue="1">
      <formula>$J$49=$E$99</formula>
    </cfRule>
  </conditionalFormatting>
  <conditionalFormatting sqref="K26">
    <cfRule type="expression" dxfId="2" priority="1" stopIfTrue="1">
      <formula>$K$49=$E$99</formula>
    </cfRule>
  </conditionalFormatting>
  <conditionalFormatting sqref="O26:U26">
    <cfRule type="expression" dxfId="1" priority="17" stopIfTrue="1">
      <formula>$O$49=$E$99</formula>
    </cfRule>
    <cfRule type="expression" dxfId="0" priority="18" stopIfTrue="1">
      <formula>$O$4=$E$99</formula>
    </cfRule>
  </conditionalFormatting>
  <dataValidations count="2">
    <dataValidation type="whole" errorStyle="warning" operator="greaterThanOrEqual" allowBlank="1" showInputMessage="1" showErrorMessage="1" error="入力し直し" sqref="E7 D7:D10" xr:uid="{A11864BF-C0C8-4DF0-A722-792472B28B5F}">
      <formula1>100000</formula1>
    </dataValidation>
    <dataValidation type="whole" allowBlank="1" showInputMessage="1" showErrorMessage="1" sqref="D13:E13" xr:uid="{F046EF56-513E-410B-BF67-F6A39BDB97A1}">
      <formula1>1</formula1>
      <formula2>7</formula2>
    </dataValidation>
  </dataValidations>
  <printOptions horizontalCentered="1"/>
  <pageMargins left="0.19685039370078741" right="0.19685039370078741" top="0.94488188976377963" bottom="0.27559055118110237" header="0.51181102362204722" footer="0.19685039370078741"/>
  <pageSetup paperSize="9" scale="26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信用保険料計算書（上限2000万）</vt:lpstr>
      <vt:lpstr>計算書（明細）</vt:lpstr>
      <vt:lpstr>計算書（第1回）</vt:lpstr>
      <vt:lpstr>計算書（第2回）</vt:lpstr>
      <vt:lpstr>計算書（第3回）</vt:lpstr>
      <vt:lpstr>計算書（第4回）</vt:lpstr>
      <vt:lpstr>計算書（第5回）</vt:lpstr>
      <vt:lpstr>計算書（第6回）</vt:lpstr>
      <vt:lpstr>計算書（第7回）</vt:lpstr>
      <vt:lpstr>'計算書（第1回）'!Print_Area</vt:lpstr>
      <vt:lpstr>'計算書（第2回）'!Print_Area</vt:lpstr>
      <vt:lpstr>'計算書（第3回）'!Print_Area</vt:lpstr>
      <vt:lpstr>'計算書（第4回）'!Print_Area</vt:lpstr>
      <vt:lpstr>'計算書（第5回）'!Print_Area</vt:lpstr>
      <vt:lpstr>'計算書（第6回）'!Print_Area</vt:lpstr>
      <vt:lpstr>'計算書（第7回）'!Print_Area</vt:lpstr>
      <vt:lpstr>'信用保険料計算書（上限2000万）'!Print_Area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bajijigyobu1</dc:creator>
  <cp:lastModifiedBy>横川浩二</cp:lastModifiedBy>
  <cp:lastPrinted>2022-03-10T02:31:27Z</cp:lastPrinted>
  <dcterms:created xsi:type="dcterms:W3CDTF">2012-12-17T02:11:01Z</dcterms:created>
  <dcterms:modified xsi:type="dcterms:W3CDTF">2022-11-04T05:13:36Z</dcterms:modified>
</cp:coreProperties>
</file>